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TARRAGONA\"/>
    </mc:Choice>
  </mc:AlternateContent>
  <workbookProtection workbookAlgorithmName="SHA-512" workbookHashValue="yt4gJQKTan2GAV0FKf6Gaw17/H4pWwV5TIWcFXEpEOvzDRxYZfYjP40Fx2nqtk+D6W7ZCRRMb7M2ZtlpuhrG7g==" workbookSaltValue="cM7TofcLV+n4cIvRgIebh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D17" i="13" s="1"/>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F29" i="8"/>
  <c r="BF13" i="8"/>
  <c r="BA26" i="13"/>
  <c r="R13" i="17"/>
  <c r="E23" i="12"/>
  <c r="ER31" i="8"/>
  <c r="EL31" i="8"/>
  <c r="BE12" i="21"/>
  <c r="BE14" i="21" s="1"/>
  <c r="BE31" i="21" s="1"/>
  <c r="EQ31" i="8"/>
  <c r="EN31" i="8"/>
  <c r="BA14" i="16"/>
  <c r="M26" i="2"/>
  <c r="ES31" i="8"/>
  <c r="N25" i="11"/>
  <c r="EP31" i="8"/>
  <c r="AL14" i="16"/>
  <c r="AJ14" i="16"/>
  <c r="EP31" i="19"/>
  <c r="S14" i="16"/>
  <c r="P14" i="16"/>
  <c r="F13" i="16"/>
  <c r="Z14" i="17"/>
  <c r="R30" i="17"/>
  <c r="K26" i="2"/>
  <c r="N26" i="2"/>
  <c r="M23" i="2"/>
  <c r="K30" i="2"/>
  <c r="F30" i="17"/>
  <c r="F26" i="17"/>
  <c r="F14" i="7"/>
  <c r="T14" i="20"/>
  <c r="BB26" i="13"/>
  <c r="BD9" i="8"/>
  <c r="AH14" i="16"/>
  <c r="AO14" i="21"/>
  <c r="AP14" i="16"/>
  <c r="F11" i="16"/>
  <c r="BL11" i="16" s="1"/>
  <c r="T23" i="17"/>
  <c r="T26" i="17" s="1"/>
  <c r="T30" i="17" s="1"/>
  <c r="U26" i="16"/>
  <c r="BG16" i="13"/>
  <c r="BF17" i="13"/>
  <c r="E32" i="20"/>
  <c r="M32" i="20"/>
  <c r="AI32" i="20"/>
  <c r="AM32" i="20"/>
  <c r="I32" i="20"/>
  <c r="Q32" i="20"/>
  <c r="AE32" i="20"/>
  <c r="AZ32" i="20"/>
  <c r="W32" i="20"/>
  <c r="AJ32" i="20"/>
  <c r="G30" i="14"/>
  <c r="G23" i="14"/>
  <c r="U18" i="11"/>
  <c r="AX32" i="20"/>
  <c r="Y32" i="20"/>
  <c r="L32" i="20"/>
  <c r="AG32" i="20"/>
  <c r="H32" i="20"/>
  <c r="T32" i="21"/>
  <c r="F32" i="20"/>
  <c r="AF32" i="20"/>
  <c r="G26" i="14"/>
  <c r="S32" i="20"/>
  <c r="K32" i="20"/>
  <c r="AQ32" i="21"/>
  <c r="O17" i="11"/>
  <c r="U10" i="11"/>
  <c r="J32" i="20"/>
  <c r="AK32" i="20"/>
  <c r="U12" i="11"/>
  <c r="AU32" i="20"/>
  <c r="G14" i="14"/>
  <c r="O18" i="11"/>
  <c r="R32" i="20"/>
  <c r="BF17" i="8" l="1"/>
  <c r="J29" i="2"/>
  <c r="F16" i="11"/>
  <c r="AQ16" i="11" s="1"/>
  <c r="R8" i="9"/>
  <c r="X12" i="21" s="1"/>
  <c r="P13" i="14"/>
  <c r="BE17" i="13"/>
  <c r="BF16" i="13"/>
  <c r="BG17" i="13"/>
  <c r="AP17" i="20"/>
  <c r="T9" i="11"/>
  <c r="BH11" i="16"/>
  <c r="S20" i="14"/>
  <c r="V20" i="14" s="1"/>
  <c r="BK13" i="11"/>
  <c r="BH16" i="11"/>
  <c r="BH19" i="16"/>
  <c r="P18" i="17"/>
  <c r="BM29" i="11"/>
  <c r="BF29" i="11"/>
  <c r="BH19" i="11"/>
  <c r="BK19" i="11"/>
  <c r="BK9" i="11"/>
  <c r="V18" i="16"/>
  <c r="S9" i="17"/>
  <c r="BG29" i="11"/>
  <c r="BI10" i="11"/>
  <c r="Q10" i="21"/>
  <c r="BM25" i="11"/>
  <c r="BK25" i="11"/>
  <c r="V28" i="11"/>
  <c r="BH20" i="11"/>
  <c r="BI18" i="11"/>
  <c r="AZ13" i="11"/>
  <c r="BH28" i="16"/>
  <c r="V29" i="11"/>
  <c r="V22" i="11"/>
  <c r="AZ21" i="11"/>
  <c r="BM20" i="11"/>
  <c r="BJ28" i="11"/>
  <c r="BU28" i="17"/>
  <c r="BU11" i="17"/>
  <c r="BW9" i="20"/>
  <c r="BU21" i="17"/>
  <c r="BV17" i="16"/>
  <c r="BW17" i="20"/>
  <c r="BV25" i="16"/>
  <c r="X21" i="16"/>
  <c r="BU9" i="17"/>
  <c r="BU19" i="17"/>
  <c r="BW10" i="20"/>
  <c r="BV22" i="16"/>
  <c r="BU17" i="17"/>
  <c r="BH30" i="16"/>
  <c r="S13" i="14"/>
  <c r="V13" i="14" s="1"/>
  <c r="S18" i="14"/>
  <c r="V18" i="14" s="1"/>
  <c r="R11" i="14"/>
  <c r="R18" i="14"/>
  <c r="R22" i="14"/>
  <c r="R28" i="14"/>
  <c r="T12" i="11"/>
  <c r="T19" i="11"/>
  <c r="T22" i="11"/>
  <c r="T28" i="11"/>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J13" i="10" s="1"/>
  <c r="L13" i="10" s="1"/>
  <c r="F19" i="2"/>
  <c r="F12" i="2"/>
  <c r="BF9" i="8"/>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I10" i="7" s="1"/>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A32" i="20"/>
  <c r="AN32" i="20"/>
  <c r="AD32" i="20"/>
  <c r="AC32" i="20"/>
  <c r="AV32" i="20"/>
  <c r="O10" i="11"/>
  <c r="AP32" i="20"/>
  <c r="U17" i="11"/>
  <c r="W32" i="21"/>
  <c r="AQ32" i="20"/>
  <c r="K17" i="12" l="1"/>
  <c r="I10" i="12"/>
  <c r="I16" i="12"/>
  <c r="K9" i="12"/>
  <c r="BF23" i="13"/>
  <c r="S28" i="14"/>
  <c r="V28" i="14" s="1"/>
  <c r="S21" i="14"/>
  <c r="V21" i="14" s="1"/>
  <c r="S10" i="14"/>
  <c r="V10" i="14" s="1"/>
  <c r="BV20" i="16"/>
  <c r="S11" i="17"/>
  <c r="BU13" i="17"/>
  <c r="BW28" i="20"/>
  <c r="S21" i="17"/>
  <c r="BW11" i="20"/>
  <c r="BV11" i="16"/>
  <c r="BU29" i="17"/>
  <c r="BV21" i="16"/>
  <c r="BW13" i="20"/>
  <c r="BV13" i="16"/>
  <c r="BV28" i="16"/>
  <c r="BU25" i="17"/>
  <c r="BG21" i="11"/>
  <c r="AP18" i="20"/>
  <c r="T18" i="16"/>
  <c r="BK18" i="11"/>
  <c r="BL21" i="11"/>
  <c r="R18" i="20"/>
  <c r="R23" i="20" s="1"/>
  <c r="BL11" i="11"/>
  <c r="BG9" i="11"/>
  <c r="BJ12" i="11"/>
  <c r="BM13" i="11"/>
  <c r="BJ29" i="11"/>
  <c r="BI16" i="11"/>
  <c r="BH9" i="11"/>
  <c r="BF22" i="11"/>
  <c r="V21" i="11"/>
  <c r="BJ21" i="11"/>
  <c r="BK16" i="11"/>
  <c r="AZ29" i="11"/>
  <c r="S18" i="16"/>
  <c r="BF25" i="11"/>
  <c r="BK12" i="11"/>
  <c r="BI28" i="11"/>
  <c r="BL18" i="11"/>
  <c r="BJ19" i="11"/>
  <c r="BF19" i="11"/>
  <c r="BH18" i="16"/>
  <c r="BL9" i="11"/>
  <c r="BH21" i="16"/>
  <c r="BF11" i="11"/>
  <c r="BH9" i="16"/>
  <c r="BF13" i="11"/>
  <c r="Q18" i="20"/>
  <c r="Q23" i="20" s="1"/>
  <c r="BF28" i="11"/>
  <c r="BL19" i="11"/>
  <c r="BJ22" i="11"/>
  <c r="BJ18" i="11"/>
  <c r="BG10" i="11"/>
  <c r="BM17" i="11"/>
  <c r="V11" i="16"/>
  <c r="BF21" i="11"/>
  <c r="V25" i="11"/>
  <c r="BF17" i="11"/>
  <c r="BF10" i="11"/>
  <c r="BL12" i="11"/>
  <c r="BK21" i="11"/>
  <c r="V11" i="11"/>
  <c r="BI25" i="11"/>
  <c r="BM12" i="11"/>
  <c r="V13" i="11"/>
  <c r="V9" i="11"/>
  <c r="BI19" i="11"/>
  <c r="BJ16" i="11"/>
  <c r="AP22" i="20"/>
  <c r="AP16" i="20"/>
  <c r="R25" i="14"/>
  <c r="V20" i="11"/>
  <c r="BL25" i="11"/>
  <c r="Q25" i="11" s="1"/>
  <c r="BG19" i="11"/>
  <c r="AZ9" i="11"/>
  <c r="BL29" i="11"/>
  <c r="T16" i="16"/>
  <c r="BW20" i="20"/>
  <c r="BV19" i="16"/>
  <c r="BV18" i="16"/>
  <c r="BW18" i="20"/>
  <c r="BV12" i="16"/>
  <c r="BW12" i="20"/>
  <c r="BV16" i="16"/>
  <c r="BW16" i="20"/>
  <c r="U10" i="17"/>
  <c r="BV10" i="16"/>
  <c r="BU18" i="17"/>
  <c r="V12" i="16"/>
  <c r="BU12" i="17"/>
  <c r="S22" i="17"/>
  <c r="S25" i="17"/>
  <c r="BF20" i="11"/>
  <c r="AZ11" i="11"/>
  <c r="S16" i="16"/>
  <c r="S23" i="16" s="1"/>
  <c r="P16" i="17"/>
  <c r="P23" i="17" s="1"/>
  <c r="P31" i="17" s="1"/>
  <c r="BL20" i="11"/>
  <c r="BF12" i="11"/>
  <c r="BL16" i="11"/>
  <c r="BH25" i="16"/>
  <c r="BH21" i="11"/>
  <c r="BK20" i="11"/>
  <c r="BK23" i="11" s="1"/>
  <c r="AZ25" i="11"/>
  <c r="AZ30" i="11" s="1"/>
  <c r="BJ10" i="11"/>
  <c r="BK17" i="11"/>
  <c r="Q16" i="17"/>
  <c r="Q23" i="17" s="1"/>
  <c r="Q31" i="17" s="1"/>
  <c r="BM18" i="11"/>
  <c r="BF16" i="11"/>
  <c r="BH17" i="11"/>
  <c r="BL22" i="11"/>
  <c r="AQ12" i="21"/>
  <c r="BI22" i="11"/>
  <c r="BH25" i="11"/>
  <c r="BK10" i="11"/>
  <c r="BI21" i="11"/>
  <c r="L22" i="2"/>
  <c r="X22" i="16"/>
  <c r="S16" i="17"/>
  <c r="S17" i="17"/>
  <c r="L12" i="2"/>
  <c r="X19" i="16"/>
  <c r="X10" i="21"/>
  <c r="L20" i="2"/>
  <c r="U9" i="17"/>
  <c r="U31" i="17" s="1"/>
  <c r="V10" i="16"/>
  <c r="V9" i="16"/>
  <c r="X13" i="16"/>
  <c r="V16" i="11"/>
  <c r="BG25" i="11"/>
  <c r="BH16" i="16"/>
  <c r="BG22" i="11"/>
  <c r="V12" i="21"/>
  <c r="AP21" i="20"/>
  <c r="BL13" i="11"/>
  <c r="P13" i="11" s="1"/>
  <c r="BW25" i="20"/>
  <c r="BW29" i="20"/>
  <c r="BG12" i="11"/>
  <c r="BI9" i="11"/>
  <c r="BH11" i="11"/>
  <c r="S18" i="17"/>
  <c r="BH12" i="16"/>
  <c r="BG20" i="11"/>
  <c r="BK29" i="11"/>
  <c r="BK11" i="11"/>
  <c r="AP10" i="21"/>
  <c r="BH20" i="16"/>
  <c r="BH22" i="16"/>
  <c r="BJ20" i="11"/>
  <c r="BH13" i="11"/>
  <c r="BH18" i="11"/>
  <c r="BH23" i="11" s="1"/>
  <c r="AO28" i="17"/>
  <c r="AZ16" i="11"/>
  <c r="AZ23" i="11" s="1"/>
  <c r="AZ26" i="11" s="1"/>
  <c r="BW19" i="20"/>
  <c r="BU10" i="17"/>
  <c r="BU22" i="17"/>
  <c r="BU20" i="17"/>
  <c r="BW22" i="20"/>
  <c r="BW21" i="20"/>
  <c r="S28" i="17"/>
  <c r="T16" i="11"/>
  <c r="Q18" i="17"/>
  <c r="BH10" i="11"/>
  <c r="AQ10" i="21"/>
  <c r="AO29" i="17"/>
  <c r="S10" i="17"/>
  <c r="BI29" i="11"/>
  <c r="BG17" i="11"/>
  <c r="BM21" i="11"/>
  <c r="Q21" i="11" s="1"/>
  <c r="AO25" i="17"/>
  <c r="BJ17" i="11"/>
  <c r="BL17" i="11"/>
  <c r="BH22" i="11"/>
  <c r="L28" i="2"/>
  <c r="L17" i="2"/>
  <c r="AA11" i="16"/>
  <c r="BF18" i="11"/>
  <c r="AZ19" i="11"/>
  <c r="AZ18" i="11"/>
  <c r="BJ11" i="11"/>
  <c r="R10" i="21"/>
  <c r="BG16" i="11"/>
  <c r="BM16" i="11"/>
  <c r="BJ25" i="11"/>
  <c r="BU16" i="17"/>
  <c r="X20" i="16"/>
  <c r="U13" i="17"/>
  <c r="BV29" i="16"/>
  <c r="BV9" i="16"/>
  <c r="BV14" i="16" s="1"/>
  <c r="AZ17" i="11"/>
  <c r="BI20" i="11"/>
  <c r="BL28" i="11"/>
  <c r="BL10" i="11"/>
  <c r="BH10" i="16"/>
  <c r="BM9" i="11"/>
  <c r="BK22" i="11"/>
  <c r="L10" i="2"/>
  <c r="X21" i="20"/>
  <c r="L16" i="2"/>
  <c r="L18" i="2"/>
  <c r="X16" i="16"/>
  <c r="X23" i="16" s="1"/>
  <c r="L9" i="2"/>
  <c r="V25" i="16"/>
  <c r="X12" i="17"/>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P20"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D31" i="12"/>
  <c r="I21" i="12"/>
  <c r="BW33" i="20"/>
  <c r="P21" i="11"/>
  <c r="P9" i="11"/>
  <c r="Q29" i="11"/>
  <c r="P29" i="11"/>
  <c r="Q10" i="11"/>
  <c r="D11" i="6"/>
  <c r="J11" i="12" s="1"/>
  <c r="E11" i="3"/>
  <c r="BC26" i="8"/>
  <c r="BF26" i="8" s="1"/>
  <c r="R16" i="14"/>
  <c r="BH17" i="16"/>
  <c r="AO27" i="17"/>
  <c r="AM18" i="11"/>
  <c r="BI17" i="1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V32" i="21"/>
  <c r="O12" i="11"/>
  <c r="H32" i="17"/>
  <c r="AW32" i="11"/>
  <c r="I18" i="12" l="1"/>
  <c r="AA31" i="11"/>
  <c r="E31" i="2"/>
  <c r="BI23" i="11"/>
  <c r="AQ17" i="11"/>
  <c r="P12" i="11"/>
  <c r="AZ31" i="11"/>
  <c r="AZ14" i="11"/>
  <c r="R14" i="21"/>
  <c r="R31" i="21"/>
  <c r="BJ23"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U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<sst xmlns="http://schemas.openxmlformats.org/spreadsheetml/2006/main" count="2682" uniqueCount="1193">
  <si>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</si>
  <si>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</si>
  <si>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</si>
  <si>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</si>
  <si>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</si>
  <si>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</si>
  <si>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</si>
  <si>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</si>
  <si>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</si>
  <si>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</si>
  <si>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</si>
  <si>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</si>
  <si>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</si>
  <si>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</si>
  <si>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</si>
  <si>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</si>
  <si>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</si>
  <si>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</si>
  <si>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</si>
  <si>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</si>
  <si>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</si>
  <si>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</si>
  <si>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</si>
  <si>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</si>
  <si>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</si>
  <si>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</si>
  <si>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</si>
  <si>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</si>
  <si>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</si>
  <si>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</si>
  <si>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</si>
  <si>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</si>
  <si>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</si>
  <si>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</si>
  <si>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</si>
  <si>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</si>
  <si>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</si>
  <si>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</si>
  <si>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</si>
  <si>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</si>
  <si>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</si>
  <si>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</si>
  <si>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</si>
  <si>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</si>
  <si>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</si>
  <si>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</si>
  <si>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</si>
  <si>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</si>
  <si>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</si>
  <si>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</si>
  <si>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</si>
  <si>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</si>
  <si>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</si>
  <si>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</si>
  <si>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</si>
  <si>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</si>
  <si>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</si>
  <si>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</si>
  <si>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</si>
  <si>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</si>
  <si>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</si>
  <si>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</si>
  <si>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</si>
  <si>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</si>
  <si>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</si>
  <si>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</si>
  <si>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</si>
  <si>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</si>
  <si>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</si>
  <si>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</si>
  <si>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</si>
  <si>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</si>
  <si>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</si>
  <si>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</si>
  <si>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</si>
  <si>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</si>
  <si>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</si>
  <si>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</si>
  <si>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</si>
  <si>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</si>
  <si>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</si>
  <si>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</si>
  <si>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</si>
  <si>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</si>
  <si>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</si>
  <si>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</si>
  <si>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</si>
  <si>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</si>
  <si>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</si>
  <si>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</si>
  <si>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</si>
  <si>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</si>
  <si>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</si>
  <si>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</si>
  <si>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</si>
  <si>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</si>
  <si>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</si>
  <si>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</si>
  <si>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</si>
  <si>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</si>
  <si>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</si>
  <si>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</si>
  <si>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</si>
  <si>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</si>
  <si>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</si>
  <si>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</si>
  <si>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</si>
  <si>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</si>
  <si>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</si>
  <si>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</si>
  <si>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</si>
  <si>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</si>
  <si>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</si>
  <si>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</si>
  <si>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</si>
  <si>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</si>
  <si>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</si>
  <si>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</si>
  <si>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</si>
  <si>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</si>
  <si>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</si>
  <si>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</si>
  <si>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</si>
  <si>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</si>
  <si>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</si>
  <si>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</si>
  <si>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</si>
  <si>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</si>
  <si>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</si>
  <si>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</si>
  <si>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</si>
  <si>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</si>
  <si>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</si>
  <si>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</si>
  <si>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</si>
  <si>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</si>
  <si>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</si>
  <si>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</si>
  <si>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</si>
  <si>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</si>
  <si>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</si>
  <si>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</si>
  <si>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</si>
  <si>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</si>
  <si>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</si>
  <si>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</si>
  <si>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</si>
  <si>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</si>
  <si>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</si>
  <si>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</si>
  <si>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</si>
  <si>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</si>
  <si>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</si>
  <si>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</si>
  <si>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</si>
  <si>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</si>
  <si>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</si>
  <si>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</si>
  <si>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</si>
  <si>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</si>
  <si>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</si>
  <si>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</si>
  <si>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</si>
  <si>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</si>
  <si>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</si>
  <si>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</si>
  <si>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</si>
  <si>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</si>
  <si>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</si>
  <si>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</si>
  <si>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</si>
  <si>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</si>
  <si>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</si>
  <si>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</si>
  <si>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</si>
  <si>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</si>
  <si>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</si>
  <si>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</si>
  <si>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</si>
  <si>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</si>
  <si>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</si>
  <si>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</si>
  <si>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</si>
  <si>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</si>
  <si>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</si>
  <si>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</si>
  <si>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</si>
  <si>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</si>
  <si>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</si>
  <si>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</si>
  <si>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</si>
  <si>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</si>
  <si>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</si>
  <si>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</si>
  <si>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</si>
  <si>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</si>
  <si>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</si>
  <si>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</si>
  <si>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</si>
  <si>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</si>
  <si>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</si>
  <si>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</si>
  <si>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</si>
  <si>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</si>
  <si>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</si>
  <si>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</si>
  <si>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</si>
  <si>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</si>
  <si>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</si>
  <si>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</si>
  <si>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</si>
  <si>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</si>
  <si>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</si>
  <si>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</si>
  <si>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</si>
  <si>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</si>
  <si>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</si>
  <si>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</si>
  <si>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</si>
  <si>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</si>
  <si>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</si>
  <si>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</si>
  <si>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</si>
  <si>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</si>
  <si>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</si>
  <si>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</si>
  <si>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</si>
  <si>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</si>
  <si>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</si>
  <si>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</si>
  <si>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</si>
  <si>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</si>
  <si>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</si>
  <si>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</si>
  <si>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</si>
  <si>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</si>
  <si>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</si>
  <si>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</si>
  <si>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</si>
  <si>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</si>
  <si>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</si>
  <si>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</si>
  <si>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</si>
  <si>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</si>
  <si>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</si>
  <si>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</si>
  <si>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</si>
  <si>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</si>
  <si>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</si>
  <si>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</si>
  <si>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</si>
  <si>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</si>
  <si>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</si>
  <si>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</si>
  <si>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</si>
  <si>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</si>
  <si>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</si>
  <si>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</si>
  <si>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</si>
  <si>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</si>
  <si>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</si>
  <si>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</si>
  <si>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</si>
  <si>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</si>
  <si>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</si>
  <si>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</si>
  <si>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</si>
  <si>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</si>
  <si>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</si>
  <si>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</si>
  <si>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</si>
  <si>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</si>
  <si>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</si>
  <si>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</si>
  <si>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</si>
  <si>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</si>
  <si>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</si>
  <si>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</si>
  <si>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</si>
  <si>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</si>
  <si>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</si>
  <si>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</si>
  <si>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</si>
  <si>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</si>
  <si>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</si>
  <si>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</si>
  <si>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</si>
  <si>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</si>
  <si>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</si>
  <si>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</si>
  <si>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</si>
  <si>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</si>
  <si>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</si>
  <si>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</si>
  <si>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</si>
  <si>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</si>
  <si>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</si>
  <si>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</si>
  <si>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</si>
  <si>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</si>
  <si>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</si>
  <si>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</si>
  <si>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</si>
  <si>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</si>
  <si>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</si>
  <si>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</si>
  <si>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</si>
  <si>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</si>
  <si>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</si>
  <si>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</si>
  <si>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</si>
  <si>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</si>
  <si>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</si>
  <si>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</si>
  <si>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</si>
  <si>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</si>
  <si>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</si>
  <si>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</si>
  <si>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</si>
  <si>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</si>
  <si>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</si>
  <si>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</si>
  <si>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</si>
  <si>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</si>
  <si>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</si>
  <si>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</si>
  <si>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</si>
  <si>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</si>
  <si>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</si>
  <si>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</si>
  <si>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</si>
  <si>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</si>
  <si>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</si>
  <si>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</si>
  <si>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</si>
  <si>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</si>
  <si>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</si>
  <si>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</si>
  <si>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</si>
  <si>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</si>
  <si>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</si>
  <si>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</si>
  <si>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</si>
  <si>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</si>
  <si>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</si>
  <si>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</si>
  <si>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</si>
  <si>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</si>
  <si>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</si>
  <si>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</si>
  <si>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</si>
  <si>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</si>
  <si>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</si>
  <si>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</si>
  <si>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</si>
  <si>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</si>
  <si>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</si>
  <si>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</si>
  <si>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</si>
  <si>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</si>
  <si>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</si>
  <si>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</si>
  <si>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</si>
  <si>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</si>
  <si>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</si>
  <si>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</si>
  <si>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</si>
  <si>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</si>
  <si>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</si>
  <si>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</si>
  <si>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</si>
  <si>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</si>
  <si>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</si>
  <si>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</si>
  <si>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</si>
  <si>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</si>
  <si>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</si>
  <si>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</si>
  <si>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</si>
  <si>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</si>
  <si>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</si>
  <si>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</si>
  <si>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</si>
  <si>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</si>
  <si>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</si>
  <si>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</si>
  <si>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</si>
  <si>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</si>
  <si>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</si>
  <si>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</si>
  <si>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</si>
  <si>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</si>
  <si>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</si>
  <si>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</si>
  <si>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</si>
  <si>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</si>
  <si>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</si>
  <si>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</si>
  <si>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</si>
  <si>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</si>
  <si>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</si>
  <si>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</si>
  <si>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</si>
  <si>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</si>
  <si>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</si>
  <si>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</si>
  <si>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</si>
  <si>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</si>
  <si>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</si>
  <si>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</si>
  <si>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</si>
  <si>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</si>
  <si>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</si>
  <si>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</si>
  <si>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</si>
  <si>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</si>
  <si>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</si>
  <si>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</si>
  <si>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</si>
  <si>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</si>
  <si>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</si>
  <si>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</si>
  <si>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</si>
  <si>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</si>
  <si>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</si>
  <si>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</si>
  <si>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</si>
  <si>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</si>
  <si>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</si>
  <si>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</si>
  <si>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</si>
  <si>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</si>
  <si>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</si>
  <si>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</si>
  <si>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</si>
  <si>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</si>
  <si>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</si>
  <si>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</si>
  <si>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</si>
  <si>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</si>
  <si>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</si>
  <si>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</si>
  <si>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</si>
  <si>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</si>
  <si>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</si>
  <si>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</si>
  <si>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</si>
  <si>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</si>
  <si>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</si>
  <si>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</si>
  <si>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</si>
  <si>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</si>
  <si>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</si>
  <si>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</si>
  <si>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</si>
  <si>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</si>
  <si>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</si>
  <si>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</si>
  <si>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</si>
  <si>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</si>
  <si>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</si>
  <si>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</si>
  <si>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</si>
  <si>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</si>
  <si>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</si>
  <si>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</si>
  <si>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</si>
  <si>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</si>
  <si>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</si>
  <si>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</si>
  <si>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</si>
  <si>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</si>
  <si>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</si>
  <si>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</si>
  <si>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</si>
  <si>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</si>
  <si>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</si>
  <si>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</si>
  <si>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</si>
  <si>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</si>
  <si>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</si>
  <si>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</si>
  <si>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</si>
  <si>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</si>
  <si>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</si>
  <si>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</si>
  <si>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</si>
  <si>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</si>
  <si>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</si>
  <si>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</si>
  <si>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</si>
  <si>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</si>
  <si>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</si>
  <si>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</si>
  <si>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</si>
  <si>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</si>
  <si>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</si>
  <si>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</si>
  <si>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</si>
  <si>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</si>
  <si>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</si>
  <si>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</si>
  <si>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</si>
  <si>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</si>
  <si>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</si>
  <si>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</si>
  <si>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</si>
  <si>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</si>
  <si>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</si>
  <si>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</si>
  <si>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</si>
  <si>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</si>
  <si>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</si>
  <si>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</si>
  <si>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</si>
  <si>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</si>
  <si>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</si>
  <si>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</si>
  <si>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</si>
  <si>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</si>
  <si>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</si>
  <si>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</si>
  <si>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</si>
  <si>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</si>
  <si>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</si>
  <si>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</si>
  <si>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</si>
  <si>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</si>
  <si>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</si>
  <si>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</si>
  <si>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</si>
  <si>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</si>
  <si>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</si>
  <si>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</si>
  <si>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</si>
  <si>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</si>
  <si>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</si>
  <si>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</si>
  <si>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</si>
  <si>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</si>
  <si>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</si>
  <si>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</si>
  <si>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</si>
  <si>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</si>
  <si>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</si>
  <si>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</si>
  <si>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</si>
  <si>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</si>
  <si>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</si>
  <si>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</si>
  <si>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</si>
  <si>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</si>
  <si>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</si>
  <si>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</si>
  <si>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</si>
  <si>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</si>
  <si>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</si>
  <si>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</si>
  <si>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</si>
  <si>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</si>
  <si>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</si>
  <si>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</si>
  <si>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</si>
  <si>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</si>
  <si>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</si>
  <si>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</si>
  <si>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</si>
  <si>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</si>
  <si>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</si>
  <si>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</si>
  <si>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</si>
  <si>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</si>
  <si>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</si>
  <si>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</si>
  <si>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</si>
  <si>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</si>
  <si>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</si>
  <si>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</si>
  <si>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</si>
  <si>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</si>
  <si>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</si>
  <si>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</si>
  <si>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</si>
  <si>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</si>
  <si>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</si>
  <si>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</si>
  <si>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</si>
  <si>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</si>
  <si>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</si>
  <si>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</si>
  <si>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</si>
  <si>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</si>
  <si>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</si>
  <si>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</si>
  <si>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</si>
  <si>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</si>
  <si>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</si>
  <si>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</si>
  <si>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</si>
  <si>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</si>
  <si>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</si>
  <si>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</si>
  <si>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</si>
  <si>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</si>
  <si>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</si>
  <si>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</si>
  <si>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</si>
  <si>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</si>
  <si>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</si>
  <si>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</si>
  <si>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</si>
  <si>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</si>
  <si>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</si>
  <si>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</si>
  <si>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</si>
  <si>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</si>
  <si>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</si>
  <si>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</si>
  <si>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</si>
  <si>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</si>
  <si>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</si>
  <si>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</si>
  <si>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</si>
  <si>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</si>
  <si>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</si>
  <si>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</si>
  <si>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</si>
  <si>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</si>
  <si>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</si>
  <si>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</si>
  <si>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</si>
  <si>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</si>
  <si>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</si>
  <si>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</si>
  <si>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</si>
  <si>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</si>
  <si>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</si>
  <si>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</si>
  <si>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</si>
  <si>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</si>
  <si>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</si>
  <si>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</si>
  <si>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</si>
  <si>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</si>
  <si>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</si>
  <si>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</si>
  <si>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</si>
  <si>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</si>
  <si>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</si>
  <si>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</si>
  <si>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</si>
  <si>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</si>
  <si>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</si>
  <si>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</si>
  <si>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</si>
  <si>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</si>
  <si>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</si>
  <si>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</si>
  <si>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</si>
  <si>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</si>
  <si>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</si>
  <si>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</si>
  <si>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</si>
  <si>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</si>
  <si>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</si>
  <si>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</si>
  <si>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</si>
  <si>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</si>
  <si>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</si>
  <si>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</si>
  <si>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</si>
  <si>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</si>
  <si>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</si>
  <si>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</si>
  <si>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</si>
  <si>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</si>
  <si>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</si>
  <si>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</si>
  <si>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</si>
  <si>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</si>
  <si>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</si>
  <si>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</si>
  <si>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</si>
  <si>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</si>
  <si>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</si>
  <si>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</si>
  <si>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</si>
  <si>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</si>
  <si>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</si>
  <si>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</si>
  <si>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</si>
  <si>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</si>
  <si>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</si>
  <si>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</si>
  <si>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</si>
  <si>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</si>
  <si>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</si>
  <si>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</si>
  <si>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</si>
  <si>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</si>
  <si>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</si>
  <si>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</si>
  <si>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</si>
  <si>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</si>
  <si>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</si>
  <si>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</si>
  <si>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</si>
  <si>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</si>
  <si>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</si>
  <si>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</si>
  <si>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</si>
  <si>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</si>
  <si>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</si>
  <si>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</si>
  <si>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</si>
  <si>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</si>
  <si>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</si>
  <si>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</si>
  <si>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</si>
  <si>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</si>
  <si>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</si>
  <si>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</si>
  <si>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</si>
  <si>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</si>
  <si>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</si>
  <si>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</si>
  <si>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</si>
  <si>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</si>
  <si>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</si>
  <si>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</si>
  <si>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</si>
  <si>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</si>
  <si>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</si>
  <si>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</si>
  <si>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</si>
  <si>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</si>
  <si>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</si>
  <si>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</si>
  <si>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</si>
  <si>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</si>
  <si>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</si>
  <si>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</si>
  <si>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</si>
  <si>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</si>
  <si>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</si>
  <si>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</si>
  <si>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</si>
  <si>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</si>
  <si>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</si>
  <si>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</si>
  <si>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</si>
  <si>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</si>
  <si>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</si>
  <si>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</si>
  <si>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</si>
  <si>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</si>
  <si>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</si>
  <si>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</si>
  <si>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</si>
  <si>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</si>
  <si>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</si>
  <si>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</si>
  <si>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</si>
  <si>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</si>
  <si>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</si>
  <si>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</si>
  <si>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</si>
  <si>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</si>
  <si>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</si>
  <si>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</si>
  <si>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</si>
  <si>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</si>
  <si>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</si>
  <si>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</si>
  <si>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</si>
  <si>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</si>
  <si>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</si>
  <si>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</si>
  <si>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</si>
  <si>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</si>
  <si>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</si>
  <si>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</si>
  <si>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</si>
  <si>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</si>
  <si>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</si>
  <si>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</si>
  <si>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</si>
  <si>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</si>
  <si>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</si>
  <si>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</si>
  <si>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</si>
  <si>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</si>
  <si>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</si>
  <si>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</si>
  <si>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</si>
  <si>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</si>
  <si>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</si>
  <si>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</si>
  <si>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</si>
  <si>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</si>
  <si>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</si>
  <si>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</si>
  <si>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</si>
  <si>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</si>
  <si>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</si>
  <si>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</si>
  <si>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</si>
  <si>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</si>
  <si>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</si>
  <si>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</si>
  <si>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</si>
  <si>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</si>
  <si>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</si>
  <si>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</si>
  <si>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</si>
  <si>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</si>
  <si>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</si>
  <si>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</si>
  <si>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</si>
  <si>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</si>
  <si>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</si>
  <si>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</si>
  <si>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</si>
  <si>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</si>
  <si>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</si>
  <si>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</si>
  <si>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</si>
  <si>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</si>
  <si>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</si>
  <si>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</si>
  <si>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</si>
  <si>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</si>
  <si>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</si>
  <si>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</si>
  <si>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</si>
  <si>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</si>
  <si>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</si>
  <si>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</si>
  <si>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</si>
  <si>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</si>
  <si>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</si>
  <si>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</si>
  <si>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</si>
  <si>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</si>
  <si>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</si>
  <si>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</si>
  <si>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</si>
  <si>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</si>
  <si>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</si>
  <si>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</si>
  <si>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</si>
  <si>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</si>
  <si>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</si>
  <si>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</si>
  <si>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</si>
  <si>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</si>
  <si>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</si>
  <si>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</si>
  <si>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</si>
  <si>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</si>
  <si>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</si>
  <si>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</si>
  <si>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</si>
  <si>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</si>
  <si>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</si>
  <si>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</si>
  <si>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</si>
  <si>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</si>
  <si>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</si>
  <si>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</si>
  <si>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</si>
  <si>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</si>
  <si>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</si>
  <si>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</si>
  <si>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</si>
  <si>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</si>
  <si>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</si>
  <si>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</si>
  <si>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</si>
  <si>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</si>
  <si>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</si>
  <si>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</si>
  <si>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</si>
  <si>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</si>
  <si>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</si>
  <si>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</si>
  <si>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</si>
  <si>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</si>
  <si>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</si>
  <si>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</si>
  <si>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</si>
  <si>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</si>
  <si>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</si>
  <si>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</si>
  <si>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</si>
  <si>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</si>
  <si>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</si>
  <si>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</si>
  <si>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</si>
  <si>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</si>
  <si>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</si>
  <si>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</si>
  <si>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</si>
  <si>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</si>
  <si>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</si>
  <si>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</si>
  <si>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</si>
  <si>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</si>
  <si>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</si>
  <si>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</si>
  <si>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</si>
  <si>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</si>
  <si>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</si>
  <si>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</si>
  <si>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</si>
  <si>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</si>
  <si>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</si>
  <si>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</si>
  <si>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</si>
  <si>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</si>
  <si>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</si>
  <si>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</si>
  <si>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</si>
  <si>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</si>
  <si>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</si>
  <si>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</si>
  <si>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</si>
  <si>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</si>
  <si>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</si>
  <si>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</si>
  <si>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</si>
  <si>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</si>
  <si>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</si>
  <si>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</si>
  <si>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</si>
  <si>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</si>
  <si>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</si>
  <si>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</si>
  <si>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</si>
  <si>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</si>
  <si>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</si>
  <si>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</si>
  <si>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</si>
  <si>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</si>
  <si>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</si>
  <si>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</si>
  <si>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</si>
  <si>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</si>
  <si>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</si>
  <si>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</si>
  <si>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</si>
  <si>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</si>
  <si>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</si>
  <si>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</si>
  <si>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</si>
  <si>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</si>
  <si>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</si>
  <si>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</si>
  <si>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</si>
  <si>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</si>
  <si>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</si>
  <si>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</si>
  <si>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</si>
  <si>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</si>
  <si>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</si>
  <si>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</si>
  <si>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</si>
  <si>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</si>
  <si>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</si>
  <si>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</si>
  <si>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</si>
  <si>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</si>
  <si>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</si>
  <si>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</si>
  <si>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</si>
  <si>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</si>
  <si>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</si>
  <si>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</si>
  <si>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</si>
  <si>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</si>
  <si>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</si>
  <si>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</si>
  <si>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</si>
  <si>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</si>
  <si>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</si>
  <si>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</si>
  <si>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</si>
  <si>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</si>
  <si>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</si>
  <si>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</si>
  <si>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</si>
  <si>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</si>
  <si>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</si>
  <si>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</si>
  <si>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</si>
  <si>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</si>
  <si>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</si>
  <si>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</si>
  <si>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</si>
  <si>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</si>
  <si>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</si>
  <si>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</si>
  <si>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</si>
  <si>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</si>
  <si>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</si>
  <si>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</si>
  <si>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</si>
  <si>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</si>
  <si>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</si>
  <si>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</si>
  <si>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</si>
  <si>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</si>
  <si>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</si>
  <si>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</si>
  <si>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</si>
  <si>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</si>
  <si>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</si>
  <si>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</si>
  <si>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</si>
  <si>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</si>
  <si>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</si>
  <si>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</si>
  <si>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</si>
  <si>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</si>
  <si>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</si>
  <si>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</si>
  <si>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</si>
  <si>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</si>
  <si>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</si>
  <si>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</si>
  <si>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</si>
  <si>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</si>
  <si>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</si>
  <si>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</si>
  <si>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</si>
  <si>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</si>
  <si>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</si>
  <si>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</si>
  <si>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</si>
  <si>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</si>
  <si>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</si>
  <si>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</si>
  <si>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</si>
  <si>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</si>
  <si>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</si>
  <si>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</si>
  <si>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</si>
  <si>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</si>
  <si>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</si>
  <si>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</si>
  <si>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</si>
  <si>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</si>
  <si>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</si>
  <si>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</si>
  <si>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</si>
  <si>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</si>
  <si>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</si>
  <si>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</si>
  <si>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</si>
  <si>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</si>
  <si>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</si>
  <si>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</si>
  <si>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</si>
  <si>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</si>
  <si>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</si>
  <si>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</si>
  <si>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</si>
  <si>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</si>
  <si>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</si>
  <si>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</si>
  <si>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</si>
  <si>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</si>
  <si>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</si>
  <si>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</si>
  <si>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</si>
  <si>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</si>
  <si>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</si>
  <si>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</si>
  <si>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</si>
  <si>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</si>
  <si>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</si>
  <si>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</si>
  <si>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</si>
  <si>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</si>
  <si>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</si>
  <si>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</si>
  <si>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</si>
  <si>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</si>
  <si>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</si>
  <si>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</si>
  <si>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</si>
  <si>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</si>
  <si>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</si>
  <si>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</si>
  <si>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</si>
  <si>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</si>
  <si>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</si>
  <si>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</si>
  <si>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</si>
  <si>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</si>
  <si>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</si>
  <si>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</si>
  <si>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</si>
  <si>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</si>
  <si>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</si>
  <si>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</si>
  <si>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</si>
  <si>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</si>
  <si>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</si>
  <si>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</si>
  <si>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</si>
  <si>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</si>
  <si>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</si>
  <si>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</si>
  <si>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</si>
  <si>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</si>
  <si>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</si>
  <si>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</si>
  <si>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</si>
  <si>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</si>
  <si>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</si>
  <si>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</si>
  <si>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</si>
  <si>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</si>
  <si>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</si>
  <si>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</si>
  <si>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</si>
  <si>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</si>
  <si>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</si>
  <si>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</si>
  <si>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</si>
  <si>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</si>
  <si>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</si>
  <si>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</si>
  <si>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</si>
  <si>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</si>
  <si>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</si>
  <si>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</si>
  <si>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</si>
  <si>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</si>
  <si>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</si>
  <si>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</si>
  <si>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</si>
  <si>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</si>
  <si>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</si>
  <si>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</si>
  <si>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</si>
  <si>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</si>
  <si>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</si>
  <si>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</si>
  <si>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</si>
  <si>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</si>
  <si>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</si>
  <si>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</si>
  <si>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</si>
  <si>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</si>
  <si>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</si>
  <si>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</si>
  <si>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</si>
  <si>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</si>
  <si>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</si>
  <si>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</si>
  <si>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</si>
  <si>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</si>
  <si>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</si>
  <si>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</si>
  <si>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</si>
  <si>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</si>
  <si>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</si>
  <si>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</si>
  <si>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</si>
  <si>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</si>
  <si>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</si>
  <si>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</si>
  <si>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</si>
  <si>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</si>
  <si>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</si>
  <si>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</si>
  <si>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</si>
  <si>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</si>
  <si>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</si>
  <si>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</si>
  <si>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</si>
  <si>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</si>
  <si>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</si>
  <si>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</si>
  <si>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</si>
  <si>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</si>
  <si>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CATALUÑA</t>
  </si>
  <si>
    <t>Provincias</t>
  </si>
  <si>
    <t>TARRAGONA</t>
  </si>
  <si>
    <t>Resumenes por Partidos Judiciales</t>
  </si>
  <si>
    <t>VALLS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</si>
</sst>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2</v>
      </c>
      <c r="E5" s="418"/>
      <c r="F5" s="3"/>
      <c r="H5" t="s">
        <v>546</v>
      </c>
      <c r="Q5" s="391">
        <v>3</v>
      </c>
      <c r="R5" s="391">
        <v>2</v>
      </c>
      <c r="S5" t="b">
        <f>AND(Q5&gt;=TrimIni,Q5&lt;=TrimFin)</f>
        <v>0</v>
      </c>
    </row>
    <row r="6" spans="1:19" ht="15">
      <c r="A6" s="419"/>
      <c r="B6" s="418"/>
      <c r="C6" s="416" t="s">
        <v>278</v>
      </c>
      <c r="D6" s="417">
        <v>2</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nHBK+a4GBM/HU1uu/BALUztvwoVcNRypfa7kVOEJL9v3M6QdLgugNpRKqnRm5/DXFL3VKaocmN3s6/2JVa6V1A==" saltValue="3r9PP05KIStn5tYZBs5JM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CATALUÑA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2 al 2</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52</v>
      </c>
      <c r="D10" s="239">
        <f>IF(ISNUMBER(Datos!I10),Datos!I10," - ")</f>
        <v>52</v>
      </c>
      <c r="E10" s="240">
        <f>IF(ISNUMBER(Datos!J10),Datos!J10," - ")</f>
        <v>8</v>
      </c>
      <c r="F10" s="240">
        <f>IF(ISNUMBER(Datos!K10),Datos!K10," - ")</f>
        <v>9</v>
      </c>
      <c r="G10" s="1390" t="str">
        <f>IF(Datos!E10&lt;&gt;"",Datos!E10,Datos!D10)</f>
        <v>37</v>
      </c>
      <c r="H10" s="241">
        <f>IF(ISNUMBER(Datos!L10),Datos!L10," - ")</f>
        <v>51</v>
      </c>
      <c r="I10" s="1400" t="str">
        <f>IF(ISNUMBER(Datos!AS10/Datos!BM10),Datos!AS10/Datos!BM10," - ")</f>
        <v xml:space="preserve"> - </v>
      </c>
      <c r="J10" s="1401">
        <f>IF(ISNUMBER(Datos!BY10/Datos!CN10),Datos!BY10/Datos!CN10," - ")</f>
        <v>0</v>
      </c>
      <c r="K10" s="244">
        <f t="shared" ref="K10:K13" si="1">IF(ISNUMBER((E10-F10)/C10),(E10-F10)/C10," - ")</f>
        <v>-1.9230769230769232E-2</v>
      </c>
      <c r="L10" s="1402">
        <f>IF(ISNUMBER(NºAsuntos!I10/NºAsuntos!G10),(NºAsuntos!I10/NºAsuntos!G10)*11," - ")</f>
        <v>62.333333333333336</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3</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35.981308411214954</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52</v>
      </c>
      <c r="D14" s="1407">
        <f>SUBTOTAL(9,D9:D13)</f>
        <v>52</v>
      </c>
      <c r="E14" s="1408">
        <f>SUBTOTAL(9,E9:E13)</f>
        <v>8</v>
      </c>
      <c r="F14" s="1409">
        <f>SUBTOTAL(9,F9:F13)</f>
        <v>9</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3</v>
      </c>
      <c r="B17" s="1461" t="str">
        <f>Datos!A17</f>
        <v xml:space="preserve">Jdos. 1ª Instª. e Instr.                        </v>
      </c>
      <c r="C17" s="239">
        <f t="shared" si="2"/>
        <v>1202</v>
      </c>
      <c r="D17" s="239">
        <f>IF(ISNUMBER(IF(D_I="SI",Datos!I17,Datos!I17+Datos!AC17)),IF(D_I="SI",Datos!I17,Datos!I17+Datos!AC17)," - ")</f>
        <v>1202</v>
      </c>
      <c r="E17" s="240">
        <f>IF(ISNUMBER(IF(D_I="SI",Datos!J17,Datos!J17+Datos!AD17)),IF(D_I="SI",Datos!J17,Datos!J17+Datos!AD17)," - ")</f>
        <v>1017</v>
      </c>
      <c r="F17" s="240">
        <f>IF(ISNUMBER(IF(D_I="SI",Datos!K17,Datos!K17+Datos!AE17)),IF(D_I="SI",Datos!K17,Datos!K17+Datos!AE17)," - ")</f>
        <v>1041</v>
      </c>
      <c r="G17" s="1390" t="str">
        <f>IF(Datos!E17&lt;&gt;"",Datos!E17,Datos!D17)</f>
        <v>04</v>
      </c>
      <c r="H17" s="241">
        <f>IF(ISNUMBER(IF(D_I="SI",Datos!L17,Datos!L17+Datos!AF17)),IF(D_I="SI",Datos!L17,Datos!L17+Datos!AF17)," - ")</f>
        <v>1178</v>
      </c>
      <c r="I17" s="1400" t="str">
        <f>IF(ISNUMBER(Datos!AS17/Datos!BM17),Datos!AS17/Datos!BM17," - ")</f>
        <v xml:space="preserve"> - </v>
      </c>
      <c r="J17" s="1401">
        <f>IF(ISNUMBER(Datos!BY17/Datos!CN17),Datos!BY17/Datos!CN17," - ")</f>
        <v>0</v>
      </c>
      <c r="K17" s="244">
        <f t="shared" si="3"/>
        <v>-1.9966722129783693E-2</v>
      </c>
      <c r="L17" s="1402">
        <f>IF(ISNUMBER(NºAsuntos!I17/NºAsuntos!G17),(NºAsuntos!I17/NºAsuntos!G17)*11," - ")</f>
        <v>12.447646493756004</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226</v>
      </c>
      <c r="D18" s="239">
        <f>IF(ISNUMBER(IF(D_I="SI",Datos!I18,Datos!I18+Datos!AC18)),IF(D_I="SI",Datos!I18,Datos!I18+Datos!AC18)," - ")</f>
        <v>226</v>
      </c>
      <c r="E18" s="240">
        <f>IF(ISNUMBER(IF(D_I="SI",Datos!J18,Datos!J18+Datos!AD18)),IF(D_I="SI",Datos!J18,Datos!J18+Datos!AD18)," - ")</f>
        <v>59</v>
      </c>
      <c r="F18" s="240">
        <f>IF(ISNUMBER(IF(D_I="SI",Datos!K18,Datos!K18+Datos!AE18)),IF(D_I="SI",Datos!K18,Datos!K18+Datos!AE18)," - ")</f>
        <v>63</v>
      </c>
      <c r="G18" s="1390" t="str">
        <f>IF(Datos!E18&lt;&gt;"",Datos!E18,Datos!D18)</f>
        <v>37</v>
      </c>
      <c r="H18" s="241">
        <f>IF(ISNUMBER(IF(D_I="SI",Datos!L18,Datos!L18+Datos!AF18)),IF(D_I="SI",Datos!L18,Datos!L18+Datos!AF18)," - ")</f>
        <v>222</v>
      </c>
      <c r="I18" s="1400" t="str">
        <f>IF(ISNUMBER(Datos!AS18/Datos!BM18),Datos!AS18/Datos!BM18," - ")</f>
        <v xml:space="preserve"> - </v>
      </c>
      <c r="J18" s="1401" t="str">
        <f>IF(ISNUMBER((Datos!BY18+Datos!BZ18)/Datos!CN18),(Datos!BY18+Datos!BZ18)/Datos!CN18," - ")</f>
        <v xml:space="preserve"> - </v>
      </c>
      <c r="K18" s="244">
        <f t="shared" si="3"/>
        <v>-1.7699115044247787E-2</v>
      </c>
      <c r="L18" s="1402">
        <f>IF(ISNUMBER(NºAsuntos!I18/NºAsuntos!G18),(NºAsuntos!I18/NºAsuntos!G18)*11," - ")</f>
        <v>38.761904761904759</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1428</v>
      </c>
      <c r="D23" s="1407">
        <f>SUBTOTAL(9,D16:D22)</f>
        <v>1428</v>
      </c>
      <c r="E23" s="1408">
        <f>SUBTOTAL(9,E16:E22)</f>
        <v>1076</v>
      </c>
      <c r="F23" s="1408">
        <f>SUBTOTAL(9,F16:F22)</f>
        <v>1104</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1480</v>
      </c>
      <c r="D31" s="1435">
        <f>SUBTOTAL(9,D9:D30)</f>
        <v>1480</v>
      </c>
      <c r="E31" s="1436">
        <f>SUBTOTAL(9,E9:E30)</f>
        <v>1084</v>
      </c>
      <c r="F31" s="1436">
        <f>SUBTOTAL(9,F9:F30)</f>
        <v>1113</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83Q/cb/zj7S51ChNfV/zdJ4UpE7AKmKI01DbfIozVp1lpnQjzvy4dpG3R6tmqyw3KSUjgC652x6I9po+1m5png==" saltValue="09NHPYDmj5JQEAvFf6uHFw=="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UUQgyhU8OCz8bApj2ptbuwtInBUBV9M1GuACvvF4oq5ec5EOyF8W39uUFsqDC09x4JYdp+CvJmNg2ucbh3lptQ==" saltValue="ckKm3//3a1UOFdIGRNYZM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TARRAGONA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52</v>
      </c>
      <c r="J10" s="194">
        <v>8</v>
      </c>
      <c r="K10" s="194">
        <v>9</v>
      </c>
      <c r="L10" s="194">
        <v>51</v>
      </c>
      <c r="M10" s="194">
        <v>3</v>
      </c>
      <c r="N10" s="194">
        <v>2</v>
      </c>
      <c r="O10" s="194">
        <v>4</v>
      </c>
      <c r="P10" s="194">
        <v>2</v>
      </c>
      <c r="Q10" s="194">
        <v>4</v>
      </c>
      <c r="R10" s="194">
        <v>25</v>
      </c>
      <c r="S10" s="194">
        <v>36</v>
      </c>
      <c r="T10" s="194">
        <v>4</v>
      </c>
      <c r="U10" s="194">
        <v>4</v>
      </c>
      <c r="V10" s="194">
        <v>36</v>
      </c>
      <c r="W10" s="194">
        <v>2</v>
      </c>
      <c r="X10" s="201">
        <v>3</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36</v>
      </c>
      <c r="AZ10" s="139">
        <f t="shared" si="0"/>
        <v>4</v>
      </c>
      <c r="BA10" s="139">
        <f t="shared" si="0"/>
        <v>4</v>
      </c>
      <c r="BB10" s="139">
        <f t="shared" si="0"/>
        <v>36</v>
      </c>
      <c r="BC10" s="135">
        <f t="shared" si="0"/>
        <v>2</v>
      </c>
      <c r="BD10" s="136">
        <f>IF(ISNUMBER(BA10/AZ10),BA10/AZ10," - ")</f>
        <v>1</v>
      </c>
      <c r="BE10" s="137">
        <f>IF(ISNUMBER(BB10/BA10),BB10/BA10, " - ")</f>
        <v>9</v>
      </c>
      <c r="BF10" s="137">
        <f>IF(ISNUMBER(BC10/BA10),BC10/BA10, " - ")</f>
        <v>0.5</v>
      </c>
      <c r="BG10" s="209">
        <f>IF(ISNUMBER((AY10+AZ10)/BA10),(AY10+AZ10)/BA10," - ")</f>
        <v>10</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1884</v>
      </c>
      <c r="J12" s="196">
        <v>751</v>
      </c>
      <c r="K12" s="196">
        <v>595</v>
      </c>
      <c r="L12" s="196">
        <v>2040</v>
      </c>
      <c r="M12" s="196">
        <v>172</v>
      </c>
      <c r="N12" s="196">
        <v>262</v>
      </c>
      <c r="O12" s="194">
        <v>252</v>
      </c>
      <c r="P12" s="196">
        <v>154</v>
      </c>
      <c r="Q12" s="196">
        <v>60</v>
      </c>
      <c r="R12" s="196">
        <v>2572</v>
      </c>
      <c r="S12" s="196">
        <v>1743</v>
      </c>
      <c r="T12" s="196">
        <v>580</v>
      </c>
      <c r="U12" s="196">
        <v>673</v>
      </c>
      <c r="V12" s="196">
        <v>1650</v>
      </c>
      <c r="W12" s="196">
        <v>176</v>
      </c>
      <c r="X12" s="202">
        <v>306</v>
      </c>
      <c r="Y12" s="204">
        <v>64</v>
      </c>
      <c r="Z12" s="194">
        <v>43</v>
      </c>
      <c r="AA12" s="194">
        <v>47</v>
      </c>
      <c r="AB12" s="194">
        <v>60</v>
      </c>
      <c r="AC12" s="196">
        <v>0</v>
      </c>
      <c r="AD12" s="196">
        <v>0</v>
      </c>
      <c r="AE12" s="196">
        <v>0</v>
      </c>
      <c r="AF12" s="202">
        <v>0</v>
      </c>
      <c r="AG12" s="215">
        <v>79</v>
      </c>
      <c r="AH12" s="196">
        <v>23</v>
      </c>
      <c r="AI12" s="196">
        <v>40</v>
      </c>
      <c r="AJ12" s="216">
        <v>62</v>
      </c>
      <c r="AK12" s="195">
        <v>0</v>
      </c>
      <c r="AL12" s="196">
        <v>0</v>
      </c>
      <c r="AM12" s="196">
        <v>0</v>
      </c>
      <c r="AN12" s="202">
        <v>0</v>
      </c>
      <c r="AO12" s="283">
        <v>3</v>
      </c>
      <c r="AP12" s="168">
        <v>3</v>
      </c>
      <c r="AQ12" s="168">
        <v>3</v>
      </c>
      <c r="AR12" s="167">
        <v>3</v>
      </c>
      <c r="AS12" s="381" t="s">
        <v>1075</v>
      </c>
      <c r="AT12" s="216"/>
      <c r="AU12" s="215"/>
      <c r="AV12" s="216"/>
      <c r="AW12" s="215"/>
      <c r="AX12" s="216"/>
      <c r="AY12" s="136">
        <f t="shared" si="1"/>
        <v>1822</v>
      </c>
      <c r="AZ12" s="137">
        <f t="shared" si="1"/>
        <v>603</v>
      </c>
      <c r="BA12" s="137">
        <f t="shared" si="1"/>
        <v>713</v>
      </c>
      <c r="BB12" s="137">
        <f t="shared" si="1"/>
        <v>1712</v>
      </c>
      <c r="BC12" s="135">
        <f>IF(ISNUMBER(X12),X12," - ")</f>
        <v>306</v>
      </c>
      <c r="BD12" s="136">
        <f t="shared" si="2"/>
        <v>1.1824212271973467</v>
      </c>
      <c r="BE12" s="137">
        <f t="shared" si="3"/>
        <v>2.4011220196353436</v>
      </c>
      <c r="BF12" s="137">
        <f t="shared" si="4"/>
        <v>0.42917251051893407</v>
      </c>
      <c r="BG12" s="209">
        <f t="shared" si="5"/>
        <v>3.4011220196353436</v>
      </c>
      <c r="BH12" s="168">
        <v>3</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1936</v>
      </c>
      <c r="J14" s="197">
        <f t="shared" si="7"/>
        <v>759</v>
      </c>
      <c r="K14" s="197">
        <f t="shared" si="7"/>
        <v>604</v>
      </c>
      <c r="L14" s="197">
        <f t="shared" si="7"/>
        <v>2091</v>
      </c>
      <c r="M14" s="197">
        <f t="shared" si="7"/>
        <v>175</v>
      </c>
      <c r="N14" s="197">
        <f t="shared" si="7"/>
        <v>264</v>
      </c>
      <c r="O14" s="197">
        <f t="shared" si="7"/>
        <v>256</v>
      </c>
      <c r="P14" s="197">
        <f t="shared" si="7"/>
        <v>156</v>
      </c>
      <c r="Q14" s="197">
        <f t="shared" si="7"/>
        <v>64</v>
      </c>
      <c r="R14" s="197">
        <f t="shared" si="7"/>
        <v>2597</v>
      </c>
      <c r="S14" s="197">
        <f t="shared" si="7"/>
        <v>1779</v>
      </c>
      <c r="T14" s="197">
        <f t="shared" si="7"/>
        <v>584</v>
      </c>
      <c r="U14" s="197">
        <f t="shared" si="7"/>
        <v>677</v>
      </c>
      <c r="V14" s="197">
        <f t="shared" si="7"/>
        <v>1686</v>
      </c>
      <c r="W14" s="197">
        <f t="shared" si="7"/>
        <v>178</v>
      </c>
      <c r="X14" s="197">
        <f t="shared" si="7"/>
        <v>309</v>
      </c>
      <c r="Y14" s="197">
        <f t="shared" si="7"/>
        <v>64</v>
      </c>
      <c r="Z14" s="197">
        <f t="shared" si="7"/>
        <v>43</v>
      </c>
      <c r="AA14" s="197">
        <f t="shared" si="7"/>
        <v>47</v>
      </c>
      <c r="AB14" s="197">
        <f t="shared" si="7"/>
        <v>60</v>
      </c>
      <c r="AC14" s="197">
        <f t="shared" si="7"/>
        <v>0</v>
      </c>
      <c r="AD14" s="197">
        <f t="shared" si="7"/>
        <v>0</v>
      </c>
      <c r="AE14" s="197">
        <f t="shared" si="7"/>
        <v>0</v>
      </c>
      <c r="AF14" s="197">
        <f>SUBTOTAL(9,AF9:AF13)</f>
        <v>0</v>
      </c>
      <c r="AG14" s="197">
        <f t="shared" ref="AG14:AT14" si="8">SUBTOTAL(9,AG8:AG13)</f>
        <v>79</v>
      </c>
      <c r="AH14" s="197">
        <f t="shared" si="8"/>
        <v>23</v>
      </c>
      <c r="AI14" s="197">
        <f t="shared" si="8"/>
        <v>40</v>
      </c>
      <c r="AJ14" s="197">
        <f t="shared" si="8"/>
        <v>62</v>
      </c>
      <c r="AK14" s="197">
        <f t="shared" si="8"/>
        <v>0</v>
      </c>
      <c r="AL14" s="197">
        <f t="shared" si="8"/>
        <v>0</v>
      </c>
      <c r="AM14" s="197">
        <f t="shared" si="8"/>
        <v>0</v>
      </c>
      <c r="AN14" s="197">
        <f t="shared" si="8"/>
        <v>0</v>
      </c>
      <c r="AO14" s="197">
        <f t="shared" si="8"/>
        <v>4</v>
      </c>
      <c r="AP14" s="197">
        <f t="shared" si="8"/>
        <v>3</v>
      </c>
      <c r="AQ14" s="197">
        <f t="shared" si="8"/>
        <v>3</v>
      </c>
      <c r="AR14" s="197">
        <f t="shared" si="8"/>
        <v>3</v>
      </c>
      <c r="AS14" s="197">
        <f t="shared" si="8"/>
        <v>0</v>
      </c>
      <c r="AT14" s="197">
        <f t="shared" si="8"/>
        <v>0</v>
      </c>
      <c r="AU14" s="217"/>
      <c r="AV14" s="142"/>
      <c r="AW14" s="217"/>
      <c r="AX14" s="142"/>
      <c r="AY14" s="197">
        <f>SUBTOTAL(9,AY8:AY13)</f>
        <v>1858</v>
      </c>
      <c r="AZ14" s="197">
        <f>SUBTOTAL(9,AZ8:AZ13)</f>
        <v>607</v>
      </c>
      <c r="BA14" s="197">
        <f>SUBTOTAL(9,BA8:BA13)</f>
        <v>717</v>
      </c>
      <c r="BB14" s="197">
        <f>SUBTOTAL(9,BB8:BB13)</f>
        <v>1748</v>
      </c>
      <c r="BC14" s="197">
        <f>SUBTOTAL(9,BC8:BC13)</f>
        <v>308</v>
      </c>
      <c r="BD14" s="219">
        <f>IF(ISNUMBER(BA14/AZ14),BA14/AZ14," - ")</f>
        <v>1.1812191103789127</v>
      </c>
      <c r="BE14" s="220">
        <f>IF(ISNUMBER(BB14/BA14),BB14/BA14, " - ")</f>
        <v>2.4379358437935843</v>
      </c>
      <c r="BF14" s="220">
        <f>IF(ISNUMBER(BC14/BA14),BC14/BA14, " - ")</f>
        <v>0.42956764295676431</v>
      </c>
      <c r="BG14" s="221">
        <f>IF(ISNUMBER((AY14+AZ14)/BA14),(AY14+AZ14)/BA14," - ")</f>
        <v>3.4379358437935843</v>
      </c>
      <c r="BH14" s="153">
        <f>SUBTOTAL(9,BH8:BH13)</f>
        <v>4</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1202</v>
      </c>
      <c r="J17" s="196">
        <v>1017</v>
      </c>
      <c r="K17" s="196">
        <v>1041</v>
      </c>
      <c r="L17" s="196">
        <v>1178</v>
      </c>
      <c r="M17" s="196">
        <v>78</v>
      </c>
      <c r="N17" s="196">
        <v>812</v>
      </c>
      <c r="O17" s="194">
        <v>0</v>
      </c>
      <c r="P17" s="196">
        <v>11</v>
      </c>
      <c r="Q17" s="196">
        <v>11</v>
      </c>
      <c r="R17" s="196">
        <v>110</v>
      </c>
      <c r="S17" s="196">
        <v>1182</v>
      </c>
      <c r="T17" s="196">
        <v>771</v>
      </c>
      <c r="U17" s="196">
        <v>697</v>
      </c>
      <c r="V17" s="196">
        <v>1256</v>
      </c>
      <c r="W17" s="196">
        <v>86</v>
      </c>
      <c r="X17" s="202">
        <v>450</v>
      </c>
      <c r="Y17" s="215">
        <v>0</v>
      </c>
      <c r="Z17" s="196">
        <v>0</v>
      </c>
      <c r="AA17" s="196">
        <v>0</v>
      </c>
      <c r="AB17" s="196">
        <v>0</v>
      </c>
      <c r="AC17" s="196">
        <v>5</v>
      </c>
      <c r="AD17" s="196">
        <v>21</v>
      </c>
      <c r="AE17" s="196">
        <v>24</v>
      </c>
      <c r="AF17" s="202">
        <v>2</v>
      </c>
      <c r="AG17" s="215">
        <v>0</v>
      </c>
      <c r="AH17" s="196">
        <v>0</v>
      </c>
      <c r="AI17" s="196">
        <v>0</v>
      </c>
      <c r="AJ17" s="216">
        <v>0</v>
      </c>
      <c r="AK17" s="195">
        <v>10</v>
      </c>
      <c r="AL17" s="196">
        <v>27</v>
      </c>
      <c r="AM17" s="196">
        <v>27</v>
      </c>
      <c r="AN17" s="202">
        <v>10</v>
      </c>
      <c r="AO17" s="283">
        <v>3</v>
      </c>
      <c r="AP17" s="168">
        <v>3</v>
      </c>
      <c r="AQ17" s="168">
        <v>3</v>
      </c>
      <c r="AR17" s="168">
        <v>3</v>
      </c>
      <c r="AS17" s="381" t="s">
        <v>650</v>
      </c>
      <c r="AT17" s="216"/>
      <c r="AU17" s="215"/>
      <c r="AV17" s="216"/>
      <c r="AW17" s="215"/>
      <c r="AX17" s="216"/>
      <c r="AY17" s="136">
        <f t="shared" si="10"/>
        <v>1182</v>
      </c>
      <c r="AZ17" s="137">
        <f t="shared" si="10"/>
        <v>771</v>
      </c>
      <c r="BA17" s="137">
        <f t="shared" si="10"/>
        <v>697</v>
      </c>
      <c r="BB17" s="137">
        <f t="shared" si="10"/>
        <v>1256</v>
      </c>
      <c r="BC17" s="135">
        <f>IF(ISNUMBER(W17),W17," - ")</f>
        <v>86</v>
      </c>
      <c r="BD17" s="136">
        <f t="shared" ref="BD17:BD22" si="12">IF(ISNUMBER(BA17/AZ17),BA17/AZ17," - ")</f>
        <v>0.90402075226977952</v>
      </c>
      <c r="BE17" s="137">
        <f t="shared" ref="BE17:BE22" si="13">IF(ISNUMBER(BB17/BA17),BB17/BA17, " - ")</f>
        <v>1.8020086083213773</v>
      </c>
      <c r="BF17" s="137">
        <f t="shared" ref="BF17:BF22" si="14">IF(ISNUMBER(BC17/BA17),BC17/BA17, " - ")</f>
        <v>0.12338593974175036</v>
      </c>
      <c r="BG17" s="209">
        <f t="shared" si="11"/>
        <v>2.8020086083213775</v>
      </c>
      <c r="BH17" s="168">
        <v>3</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226</v>
      </c>
      <c r="J18" s="196">
        <v>59</v>
      </c>
      <c r="K18" s="196">
        <v>63</v>
      </c>
      <c r="L18" s="196">
        <v>222</v>
      </c>
      <c r="M18" s="196">
        <v>3</v>
      </c>
      <c r="N18" s="196">
        <v>51</v>
      </c>
      <c r="O18" s="196">
        <v>1</v>
      </c>
      <c r="P18" s="196">
        <v>1</v>
      </c>
      <c r="Q18" s="196">
        <v>1</v>
      </c>
      <c r="R18" s="196">
        <v>0</v>
      </c>
      <c r="S18" s="196">
        <v>126</v>
      </c>
      <c r="T18" s="196">
        <v>56</v>
      </c>
      <c r="U18" s="196">
        <v>36</v>
      </c>
      <c r="V18" s="196">
        <v>146</v>
      </c>
      <c r="W18" s="196">
        <v>3</v>
      </c>
      <c r="X18" s="202">
        <v>32</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126</v>
      </c>
      <c r="AZ18" s="139">
        <f t="shared" si="15"/>
        <v>56</v>
      </c>
      <c r="BA18" s="139">
        <f t="shared" si="15"/>
        <v>36</v>
      </c>
      <c r="BB18" s="139">
        <f t="shared" si="15"/>
        <v>146</v>
      </c>
      <c r="BC18" s="135">
        <f>IF(ISNUMBER(W18),W18," - ")</f>
        <v>3</v>
      </c>
      <c r="BD18" s="136">
        <f>IF(ISNUMBER(BA18/AZ18),BA18/AZ18," - ")</f>
        <v>0.6428571428571429</v>
      </c>
      <c r="BE18" s="137">
        <f>IF(ISNUMBER(BB18/BA18),BB18/BA18, " - ")</f>
        <v>4.0555555555555554</v>
      </c>
      <c r="BF18" s="137">
        <f>IF(ISNUMBER(BC18/BA18),BC18/BA18, " - ")</f>
        <v>8.3333333333333329E-2</v>
      </c>
      <c r="BG18" s="209">
        <f>IF(ISNUMBER((AY18+AZ18)/BA18),(AY18+AZ18)/BA18," - ")</f>
        <v>5.0555555555555554</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1428</v>
      </c>
      <c r="J23" s="197">
        <f t="shared" si="21"/>
        <v>1076</v>
      </c>
      <c r="K23" s="197">
        <f t="shared" si="21"/>
        <v>1104</v>
      </c>
      <c r="L23" s="197">
        <f t="shared" si="21"/>
        <v>1400</v>
      </c>
      <c r="M23" s="197">
        <f t="shared" si="21"/>
        <v>81</v>
      </c>
      <c r="N23" s="197">
        <f t="shared" si="21"/>
        <v>863</v>
      </c>
      <c r="O23" s="197">
        <f t="shared" si="21"/>
        <v>1</v>
      </c>
      <c r="P23" s="197">
        <f t="shared" si="21"/>
        <v>12</v>
      </c>
      <c r="Q23" s="197">
        <f t="shared" si="21"/>
        <v>12</v>
      </c>
      <c r="R23" s="197">
        <f t="shared" si="21"/>
        <v>110</v>
      </c>
      <c r="S23" s="197">
        <f t="shared" si="21"/>
        <v>1308</v>
      </c>
      <c r="T23" s="197">
        <f t="shared" si="21"/>
        <v>827</v>
      </c>
      <c r="U23" s="197">
        <f t="shared" si="21"/>
        <v>733</v>
      </c>
      <c r="V23" s="197">
        <f t="shared" si="21"/>
        <v>1402</v>
      </c>
      <c r="W23" s="197">
        <f t="shared" si="21"/>
        <v>89</v>
      </c>
      <c r="X23" s="197">
        <f t="shared" si="21"/>
        <v>482</v>
      </c>
      <c r="Y23" s="197">
        <f t="shared" si="21"/>
        <v>0</v>
      </c>
      <c r="Z23" s="197">
        <f t="shared" si="21"/>
        <v>0</v>
      </c>
      <c r="AA23" s="197">
        <f t="shared" si="21"/>
        <v>0</v>
      </c>
      <c r="AB23" s="197">
        <f t="shared" si="21"/>
        <v>0</v>
      </c>
      <c r="AC23" s="197">
        <f t="shared" si="21"/>
        <v>5</v>
      </c>
      <c r="AD23" s="197">
        <f t="shared" si="21"/>
        <v>21</v>
      </c>
      <c r="AE23" s="197">
        <f t="shared" si="21"/>
        <v>24</v>
      </c>
      <c r="AF23" s="197">
        <f t="shared" si="21"/>
        <v>2</v>
      </c>
      <c r="AG23" s="197">
        <f t="shared" si="21"/>
        <v>0</v>
      </c>
      <c r="AH23" s="197">
        <f t="shared" si="21"/>
        <v>0</v>
      </c>
      <c r="AI23" s="197">
        <f t="shared" si="21"/>
        <v>0</v>
      </c>
      <c r="AJ23" s="197">
        <f t="shared" si="21"/>
        <v>0</v>
      </c>
      <c r="AK23" s="197">
        <f t="shared" si="21"/>
        <v>10</v>
      </c>
      <c r="AL23" s="197">
        <f t="shared" si="21"/>
        <v>27</v>
      </c>
      <c r="AM23" s="197">
        <f t="shared" si="21"/>
        <v>27</v>
      </c>
      <c r="AN23" s="197">
        <f t="shared" si="21"/>
        <v>10</v>
      </c>
      <c r="AO23" s="197">
        <f t="shared" si="21"/>
        <v>4</v>
      </c>
      <c r="AP23" s="197">
        <f t="shared" si="21"/>
        <v>3</v>
      </c>
      <c r="AQ23" s="197">
        <f t="shared" si="21"/>
        <v>3</v>
      </c>
      <c r="AR23" s="197">
        <f t="shared" si="21"/>
        <v>3</v>
      </c>
      <c r="AS23" s="197">
        <f t="shared" si="21"/>
        <v>0</v>
      </c>
      <c r="AT23" s="197">
        <f t="shared" si="21"/>
        <v>0</v>
      </c>
      <c r="AU23" s="217"/>
      <c r="AV23" s="142"/>
      <c r="AW23" s="217"/>
      <c r="AX23" s="142"/>
      <c r="AY23" s="197">
        <f>SUBTOTAL(9,AY15:AY22)</f>
        <v>1308</v>
      </c>
      <c r="AZ23" s="197">
        <f>SUBTOTAL(9,AZ15:AZ22)</f>
        <v>827</v>
      </c>
      <c r="BA23" s="197">
        <f>SUBTOTAL(9,BA15:BA22)</f>
        <v>733</v>
      </c>
      <c r="BB23" s="197">
        <f>SUBTOTAL(9,BB15:BB22)</f>
        <v>1402</v>
      </c>
      <c r="BC23" s="197">
        <f>SUBTOTAL(9,BC15:BC22)</f>
        <v>89</v>
      </c>
      <c r="BD23" s="219">
        <f>IF(ISNUMBER(BA23/AZ23),BA23/AZ23," - ")</f>
        <v>0.8863361547762999</v>
      </c>
      <c r="BE23" s="220">
        <f>IF(ISNUMBER(BB23/BA23),BB23/BA23, " - ")</f>
        <v>1.9126875852660301</v>
      </c>
      <c r="BF23" s="220">
        <f>IF(ISNUMBER(BC23/BA23),BC23/BA23, " - ")</f>
        <v>0.12141882673942701</v>
      </c>
      <c r="BG23" s="221">
        <f>IF(ISNUMBER((AY23+AZ23)/BA23),(AY23+AZ23)/BA23," - ")</f>
        <v>2.9126875852660299</v>
      </c>
      <c r="BH23" s="197">
        <f>SUBTOTAL(9,BH15:BH22)</f>
        <v>4</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3364</v>
      </c>
      <c r="J31" s="144">
        <f t="shared" si="36"/>
        <v>1835</v>
      </c>
      <c r="K31" s="144">
        <f t="shared" si="36"/>
        <v>1708</v>
      </c>
      <c r="L31" s="144">
        <f t="shared" si="36"/>
        <v>3491</v>
      </c>
      <c r="M31" s="144">
        <f t="shared" si="36"/>
        <v>256</v>
      </c>
      <c r="N31" s="144">
        <f t="shared" si="36"/>
        <v>1127</v>
      </c>
      <c r="O31" s="144">
        <f t="shared" si="36"/>
        <v>257</v>
      </c>
      <c r="P31" s="144">
        <f t="shared" si="36"/>
        <v>168</v>
      </c>
      <c r="Q31" s="144">
        <f t="shared" si="36"/>
        <v>76</v>
      </c>
      <c r="R31" s="144">
        <f t="shared" si="36"/>
        <v>2707</v>
      </c>
      <c r="S31" s="144">
        <f t="shared" si="36"/>
        <v>3087</v>
      </c>
      <c r="T31" s="144">
        <f t="shared" si="36"/>
        <v>1411</v>
      </c>
      <c r="U31" s="144">
        <f t="shared" si="36"/>
        <v>1410</v>
      </c>
      <c r="V31" s="144">
        <f t="shared" si="36"/>
        <v>3088</v>
      </c>
      <c r="W31" s="144">
        <f t="shared" si="36"/>
        <v>267</v>
      </c>
      <c r="X31" s="144">
        <f t="shared" si="36"/>
        <v>791</v>
      </c>
      <c r="Y31" s="144">
        <f t="shared" si="36"/>
        <v>64</v>
      </c>
      <c r="Z31" s="144">
        <f t="shared" si="36"/>
        <v>43</v>
      </c>
      <c r="AA31" s="144">
        <f t="shared" si="36"/>
        <v>47</v>
      </c>
      <c r="AB31" s="144">
        <f t="shared" si="36"/>
        <v>60</v>
      </c>
      <c r="AC31" s="144">
        <f t="shared" si="36"/>
        <v>5</v>
      </c>
      <c r="AD31" s="144">
        <f t="shared" si="36"/>
        <v>21</v>
      </c>
      <c r="AE31" s="144">
        <f t="shared" si="36"/>
        <v>24</v>
      </c>
      <c r="AF31" s="144">
        <f t="shared" si="36"/>
        <v>2</v>
      </c>
      <c r="AG31" s="144">
        <f t="shared" si="36"/>
        <v>79</v>
      </c>
      <c r="AH31" s="144">
        <f t="shared" si="36"/>
        <v>23</v>
      </c>
      <c r="AI31" s="144">
        <f t="shared" si="36"/>
        <v>40</v>
      </c>
      <c r="AJ31" s="144">
        <f t="shared" si="36"/>
        <v>62</v>
      </c>
      <c r="AK31" s="144">
        <f t="shared" si="36"/>
        <v>10</v>
      </c>
      <c r="AL31" s="144">
        <f t="shared" si="36"/>
        <v>27</v>
      </c>
      <c r="AM31" s="144">
        <f t="shared" si="36"/>
        <v>27</v>
      </c>
      <c r="AN31" s="224">
        <f t="shared" si="36"/>
        <v>10</v>
      </c>
      <c r="AO31" s="225">
        <v>4</v>
      </c>
      <c r="AP31" s="225">
        <v>3</v>
      </c>
      <c r="AQ31" s="225">
        <v>3</v>
      </c>
      <c r="AR31" s="225">
        <v>3</v>
      </c>
      <c r="AS31" s="166">
        <f t="shared" si="36"/>
        <v>0</v>
      </c>
      <c r="AT31" s="166">
        <f t="shared" si="36"/>
        <v>0</v>
      </c>
      <c r="AU31" s="225"/>
      <c r="AV31" s="226"/>
      <c r="AW31" s="225"/>
      <c r="AX31" s="226"/>
      <c r="AY31" s="143">
        <f>SUBTOTAL(9,AY9:AY30)</f>
        <v>3166</v>
      </c>
      <c r="AZ31" s="144">
        <f>SUBTOTAL(9,AZ9:AZ30)</f>
        <v>1434</v>
      </c>
      <c r="BA31" s="144">
        <f>SUBTOTAL(9,BA9:BA30)</f>
        <v>1450</v>
      </c>
      <c r="BB31" s="144">
        <f>SUBTOTAL(9,BB9:BB30)</f>
        <v>3150</v>
      </c>
      <c r="BC31" s="145">
        <f>SUBTOTAL(9,BC9:BC30)</f>
        <v>397</v>
      </c>
      <c r="BD31" s="227">
        <f>IF(ISNUMBER(BA31/AZ31),BA31/AZ31," - ")</f>
        <v>1.0111576011157601</v>
      </c>
      <c r="BE31" s="224">
        <f>IF(ISNUMBER(BB31/BA31),BB31/BA31, " - ")</f>
        <v>2.1724137931034484</v>
      </c>
      <c r="BF31" s="224">
        <f>IF(ISNUMBER(BC31/BA31),BC31/BA31, " - ")</f>
        <v>0.27379310344827584</v>
      </c>
      <c r="BG31" s="145">
        <f>IF(ISNUMBER((AY31+AZ31)/BA31),(AY31+AZ31)/BA31," - ")</f>
        <v>3.1724137931034484</v>
      </c>
      <c r="BH31" s="225">
        <f>SUBTOTAL(9,BH9:BH30)</f>
        <v>8</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b92satPQgw0oMu5iyFMKnyJy0dfcMS1iRNTT7UBruyly4XVfB8PiZOA4UR96lxlOOkXiDBaSFcGiM2FnelKyFg==" saltValue="UEpopepm7bwzvt1XlPEdp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TARRAGONA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Nw6DGZcvWX/0JqD4yFfFg4CwWL9l8+tcyaHjS0xTdWM3AXHEQ3GVOXX8/edw/hRSl7mwP7Bbx+GSBN8cc1H2aw==" saltValue="8IVJv3OuPge+e/Ic8+f0U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CATALUÑA</v>
      </c>
      <c r="F1" s="578"/>
    </row>
    <row r="2" spans="1:74" ht="16.5" customHeight="1">
      <c r="C2" s="567" t="str">
        <f>Criterios!A10 &amp;"  "&amp;Criterios!B10 &amp; "  " &amp; IF(NOT(ISBLANK(Criterios!A11)),Criterios!A11 &amp;"  "&amp;Criterios!B11,"")</f>
        <v>Provincias  TARRAGONA  Resumenes por Partidos Judiciales  VALLS</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52</v>
      </c>
      <c r="G10" s="543">
        <f>IF(ISNUMBER(Datos!I10),Datos!I10," - ")</f>
        <v>52</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2</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9</v>
      </c>
      <c r="AC10" s="547">
        <f>IF(ISNUMBER(Datos!Q10),Datos!Q10," - ")</f>
        <v>4</v>
      </c>
      <c r="AD10" s="549"/>
      <c r="AE10" s="563"/>
      <c r="AF10" s="551">
        <f>IF(ISNUMBER(Datos!L10),Datos!L10,"-")</f>
        <v>51</v>
      </c>
      <c r="AG10" s="549"/>
      <c r="AH10" s="549"/>
      <c r="AI10" s="549"/>
      <c r="AJ10" s="549"/>
      <c r="AK10" s="549"/>
      <c r="AL10" s="550"/>
      <c r="AM10" s="766">
        <f>IF(ISNUMBER(Datos!R10),Datos!R10," - ")</f>
        <v>25</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3</v>
      </c>
      <c r="BD10" s="693">
        <f>IF(ISNUMBER(Datos!N10),Datos!N10," - ")</f>
        <v>2</v>
      </c>
      <c r="BE10" s="693" t="str">
        <f>IF(ISNUMBER(Datos!BW10),Datos!BW10," - ")</f>
        <v xml:space="preserve"> - </v>
      </c>
      <c r="BF10" s="762" t="str">
        <f>IF(ISNUMBER(Datos!BX10),Datos!BX10," - ")</f>
        <v xml:space="preserve"> - </v>
      </c>
      <c r="BG10" s="763">
        <f>IF(ISNUMBER(Datos!K10/Datos!J10),Datos!K10/Datos!J10," - ")</f>
        <v>1.125</v>
      </c>
      <c r="BH10" s="764">
        <f>IF(ISNUMBER(((Datos!L10/Datos!K10)*11)/factor_trimestre),((Datos!L10/Datos!K10)*11)/factor_trimestre," - ")</f>
        <v>17</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-7.407407407407407E-2</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3</v>
      </c>
      <c r="B12" s="746" t="s">
        <v>321</v>
      </c>
      <c r="C12" s="747" t="str">
        <f>Datos!A12</f>
        <v xml:space="preserve">Jdos. 1ª Instª. e Instr.                        </v>
      </c>
      <c r="D12" s="601"/>
      <c r="E12" s="764">
        <f>IF(ISNUMBER(Datos!AQ12),Datos!AQ12," - ")</f>
        <v>3</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43</v>
      </c>
      <c r="O12" s="549"/>
      <c r="P12" s="549"/>
      <c r="Q12" s="547">
        <f>IF(ISNUMBER(Datos!P12),Datos!P12,0)</f>
        <v>154</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60</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60</v>
      </c>
      <c r="AI12" s="549" t="str">
        <f>IF(ISNUMBER(Datos!CD12),Datos!CD12,"-")</f>
        <v>-</v>
      </c>
      <c r="AJ12" s="549" t="str">
        <f>IF(ISNUMBER(Datos!EN12),Datos!EN12," - ")</f>
        <v xml:space="preserve"> - </v>
      </c>
      <c r="AK12" s="549"/>
      <c r="AL12" s="550"/>
      <c r="AM12" s="766">
        <f>IF(ISNUMBER(Datos!R12),Datos!R12," - ")</f>
        <v>2572</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172</v>
      </c>
      <c r="BD12" s="693">
        <f>IF(ISNUMBER(Datos!N12),Datos!N12," - ")</f>
        <v>262</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0.80856423173803527</v>
      </c>
      <c r="BH12" s="764">
        <f>IF(ISNUMBER(((IF(J_V="SI",Datos!L12/Datos!K12,(Datos!L12+Datos!AB12)/(Datos!K12+Datos!AA12)))*11)/factor_trimestre),((IF(J_V="SI",Datos!L12/Datos!K12,(Datos!L12+Datos!AB12)/(Datos!K12+Datos!AA12)))*11)/factor_trimestre," - ")</f>
        <v>9.813084112149534</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3.7933817594834544E-2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3</v>
      </c>
      <c r="F14" s="1197">
        <f t="shared" si="1"/>
        <v>52</v>
      </c>
      <c r="G14" s="1197">
        <f t="shared" si="1"/>
        <v>52</v>
      </c>
      <c r="H14" s="1198">
        <f t="shared" si="1"/>
        <v>0</v>
      </c>
      <c r="I14" s="1197">
        <f t="shared" si="1"/>
        <v>0</v>
      </c>
      <c r="J14" s="1164">
        <f t="shared" si="1"/>
        <v>0</v>
      </c>
      <c r="K14" s="1164">
        <f t="shared" si="1"/>
        <v>0</v>
      </c>
      <c r="L14" s="1198">
        <f t="shared" si="1"/>
        <v>0</v>
      </c>
      <c r="M14" s="1198">
        <f t="shared" si="1"/>
        <v>0</v>
      </c>
      <c r="N14" s="1198">
        <f t="shared" si="1"/>
        <v>43</v>
      </c>
      <c r="O14" s="1199">
        <f t="shared" si="1"/>
        <v>0</v>
      </c>
      <c r="P14" s="1199">
        <f t="shared" si="1"/>
        <v>0</v>
      </c>
      <c r="Q14" s="1198">
        <f t="shared" si="1"/>
        <v>156</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9</v>
      </c>
      <c r="AC14" s="1198">
        <f t="shared" si="2"/>
        <v>64</v>
      </c>
      <c r="AD14" s="1198">
        <f t="shared" si="2"/>
        <v>0</v>
      </c>
      <c r="AE14" s="1198">
        <f t="shared" si="2"/>
        <v>0</v>
      </c>
      <c r="AF14" s="1198">
        <f t="shared" si="2"/>
        <v>51</v>
      </c>
      <c r="AG14" s="1198">
        <f t="shared" si="2"/>
        <v>0</v>
      </c>
      <c r="AH14" s="1198">
        <f t="shared" si="2"/>
        <v>60</v>
      </c>
      <c r="AI14" s="1198">
        <f t="shared" si="2"/>
        <v>0</v>
      </c>
      <c r="AJ14" s="1198">
        <f t="shared" si="2"/>
        <v>0</v>
      </c>
      <c r="AK14" s="1198">
        <f t="shared" si="2"/>
        <v>0</v>
      </c>
      <c r="AL14" s="1198">
        <f t="shared" si="2"/>
        <v>0</v>
      </c>
      <c r="AM14" s="1198">
        <f t="shared" si="2"/>
        <v>2597</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175</v>
      </c>
      <c r="BD14" s="1198">
        <f t="shared" si="2"/>
        <v>264</v>
      </c>
      <c r="BE14" s="1198">
        <f t="shared" si="2"/>
        <v>0</v>
      </c>
      <c r="BF14" s="1198">
        <f t="shared" si="2"/>
        <v>0</v>
      </c>
      <c r="BG14" s="1198">
        <f>IF(ISNUMBER(Datos!K14/Datos!J14),Datos!K14/Datos!J14," - ")</f>
        <v>0.79578392621870886</v>
      </c>
      <c r="BH14" s="1202">
        <f>IF(ISNUMBER(((Datos!L14/Datos!K14)*11)/factor_trimestre),((Datos!L14/Datos!K14)*11)/factor_trimestre," - ")</f>
        <v>10.385761589403975</v>
      </c>
      <c r="BI14" s="1198">
        <f>IF(ISNUMBER('Resol  Asuntos'!D14/NºAsuntos!G14),'Resol  Asuntos'!D14/NºAsuntos!G14," - ")</f>
        <v>0.26881720430107525</v>
      </c>
      <c r="BJ14" s="1198" t="str">
        <f>IF(ISNUMBER(Datos!CI14/Datos!CJ14),Datos!CI14/Datos!CJ14," - ")</f>
        <v xml:space="preserve"> - </v>
      </c>
      <c r="BK14" s="1198">
        <f>SUBTOTAL(9,BK8:BK13)</f>
        <v>0</v>
      </c>
      <c r="BL14" s="1198">
        <f>IF(ISNUMBER((I14-AB14+L14)/(F14)),(I14-AB14+L14)/(F14)," - ")</f>
        <v>-0.17307692307692307</v>
      </c>
      <c r="BM14" s="1203">
        <f>SUBTOTAL(9,BM9:BM13)</f>
        <v>-3.6140256479239526E-2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3</v>
      </c>
      <c r="B17" s="737" t="s">
        <v>511</v>
      </c>
      <c r="C17" s="749" t="str">
        <f>Datos!A17</f>
        <v xml:space="preserve">Jdos. 1ª Instª. e Instr.                        </v>
      </c>
      <c r="D17" s="750"/>
      <c r="E17" s="1555">
        <f>IF(ISNUMBER(Datos!AQ17),Datos!AQ17," - ")</f>
        <v>3</v>
      </c>
      <c r="F17" s="740">
        <f>IF(ISNUMBER(AF17+AB17-Datos!J17-L17),AF17+AB17-Datos!J17-L17," - ")</f>
        <v>1202</v>
      </c>
      <c r="G17" s="743">
        <f>IF(ISNUMBER(IF(D_I="SI",Datos!I17,Datos!I17+Datos!AC17)),IF(D_I="SI",Datos!I17,Datos!I17+Datos!AC17)," - ")</f>
        <v>1202</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11</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1041</v>
      </c>
      <c r="AC17" s="240">
        <f>IF(ISNUMBER(Datos!Q17),Datos!Q17," - ")</f>
        <v>11</v>
      </c>
      <c r="AD17" s="374"/>
      <c r="AE17" s="562"/>
      <c r="AF17" s="741">
        <f>IF(ISNUMBER(IF(D_I="SI",Datos!L17,Datos!L17+Datos!AF17)),IF(D_I="SI",Datos!L17,Datos!L17+Datos!AF17)," - ")</f>
        <v>1178</v>
      </c>
      <c r="AG17" s="374"/>
      <c r="AH17" s="374"/>
      <c r="AI17" s="374"/>
      <c r="AJ17" s="549"/>
      <c r="AK17" s="374"/>
      <c r="AL17" s="545"/>
      <c r="AM17" s="375">
        <f>IF(ISNUMBER(Datos!R17),Datos!R17," - ")</f>
        <v>110</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78</v>
      </c>
      <c r="BD17" s="243">
        <f>IF(ISNUMBER(Datos!N17),Datos!N17," - ")</f>
        <v>812</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1.0235988200589972</v>
      </c>
      <c r="BH17" s="764">
        <f>IF(ISNUMBER(((IF(D_I="SI",Datos!L17/Datos!K17,(Datos!L17+Datos!AF17)/(Datos!K17+Datos!AE17)))*11)/factor_trimestre),((IF(D_I="SI",Datos!L17/Datos!K17,(Datos!L17+Datos!AF17)/(Datos!K17+Datos!AE17)))*11)/factor_trimestre," - ")</f>
        <v>3.3948126801152738</v>
      </c>
      <c r="BI17" s="266">
        <f>IF(ISNUMBER('Resol  Asuntos'!D17/NºAsuntos!G17),'Resol  Asuntos'!D17/NºAsuntos!G17," - ")</f>
        <v>7.492795389048991E-2</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226</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1</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63</v>
      </c>
      <c r="AC18" s="547">
        <f>IF(ISNUMBER(Datos!Q18),Datos!Q18," - ")</f>
        <v>1</v>
      </c>
      <c r="AD18" s="549"/>
      <c r="AE18" s="562"/>
      <c r="AF18" s="551">
        <f>IF(ISNUMBER(Datos!L18),Datos!L18,"-")</f>
        <v>222</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3</v>
      </c>
      <c r="BD18" s="693">
        <f>IF(ISNUMBER(Datos!N18),Datos!N18," - ")</f>
        <v>51</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1.0677966101694916</v>
      </c>
      <c r="BH18" s="764">
        <f>IF(ISNUMBER(((IF(D_I="SI",Datos!L18/Datos!K18,(Datos!L18+Datos!AF18)/(Datos!K18+Datos!AE18)))*11)/factor_trimestre),((IF(D_I="SI",Datos!L18/Datos!K18,(Datos!L18+Datos!AF18)/(Datos!K18+Datos!AE18)))*11)/factor_trimestre," - ")</f>
        <v>10.571428571428571</v>
      </c>
      <c r="BI18" s="763">
        <f>IF(ISNUMBER('Resol  Asuntos'!D18/NºAsuntos!G18),'Resol  Asuntos'!D18/NºAsuntos!G18," - ")</f>
        <v>4.7619047619047616E-2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3</v>
      </c>
      <c r="F23" s="1197">
        <f>SUBTOTAL(9,F16:F22)</f>
        <v>1202</v>
      </c>
      <c r="G23" s="1197">
        <f>SUBTOTAL(9,G16:G22)</f>
        <v>1428</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12</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1104</v>
      </c>
      <c r="AC23" s="1198">
        <f t="shared" si="5"/>
        <v>12</v>
      </c>
      <c r="AD23" s="1198">
        <f t="shared" si="5"/>
        <v>0</v>
      </c>
      <c r="AE23" s="1198">
        <f t="shared" si="5"/>
        <v>0</v>
      </c>
      <c r="AF23" s="1198">
        <f t="shared" si="5"/>
        <v>1400</v>
      </c>
      <c r="AG23" s="1198">
        <f t="shared" si="5"/>
        <v>0</v>
      </c>
      <c r="AH23" s="1198">
        <f t="shared" si="5"/>
        <v>0</v>
      </c>
      <c r="AI23" s="1198">
        <f t="shared" si="5"/>
        <v>0</v>
      </c>
      <c r="AJ23" s="1198">
        <f t="shared" si="5"/>
        <v>0</v>
      </c>
      <c r="AK23" s="1198">
        <f t="shared" si="5"/>
        <v>0</v>
      </c>
      <c r="AL23" s="1198">
        <f t="shared" si="5"/>
        <v>0</v>
      </c>
      <c r="AM23" s="1198">
        <f t="shared" si="5"/>
        <v>110</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81</v>
      </c>
      <c r="BD23" s="1198">
        <f t="shared" si="5"/>
        <v>863</v>
      </c>
      <c r="BE23" s="1198">
        <f t="shared" si="5"/>
        <v>0</v>
      </c>
      <c r="BF23" s="1198">
        <f t="shared" si="5"/>
        <v>0</v>
      </c>
      <c r="BG23" s="1198">
        <f>IF(ISNUMBER(Datos!K23/Datos!J23),Datos!K23/Datos!J23," - ")</f>
        <v>1.0260223048327137</v>
      </c>
      <c r="BH23" s="1202">
        <f>IF(ISNUMBER(((Datos!L23/Datos!K23)*11)/factor_trimestre),((Datos!L23/Datos!K23)*11)/factor_trimestre," - ")</f>
        <v>3.804347826086957</v>
      </c>
      <c r="BI23" s="1198">
        <f>SUBTOTAL(9,BI16:BI22)</f>
        <v>0.12254700150953753</v>
      </c>
      <c r="BJ23" s="1198">
        <f>SUBTOTAL(9,BJ16:BJ22)</f>
        <v>0</v>
      </c>
      <c r="BK23" s="1198">
        <f>SUBTOTAL(9,BK16:BK22)</f>
        <v>0</v>
      </c>
      <c r="BL23" s="1198">
        <f>IF(ISNUMBER((I23-AB23+L23)/(F23)),(I23-AB23+L23)/(F23)," - ")</f>
        <v>-0.91846921797004988</v>
      </c>
      <c r="BM23" s="1205">
        <f>IF(ISNUMBER((Datos!P23-Datos!Q23)/(Datos!R23-Datos!P23+Datos!Q23)),(Datos!P23-Datos!Q23)/(Datos!R23-Datos!P23+Datos!Q23)," - ")</f>
        <v>0</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6</v>
      </c>
      <c r="F31" s="1117">
        <f t="shared" si="18"/>
        <v>1254</v>
      </c>
      <c r="G31" s="1117">
        <f t="shared" si="18"/>
        <v>1480</v>
      </c>
      <c r="H31" s="1119">
        <f t="shared" si="18"/>
        <v>0</v>
      </c>
      <c r="I31" s="1117">
        <f t="shared" si="18"/>
        <v>0</v>
      </c>
      <c r="J31" s="1119">
        <f t="shared" si="18"/>
        <v>0</v>
      </c>
      <c r="K31" s="1119">
        <f t="shared" si="18"/>
        <v>0</v>
      </c>
      <c r="L31" s="1180">
        <f t="shared" si="18"/>
        <v>0</v>
      </c>
      <c r="M31" s="1180">
        <f t="shared" si="18"/>
        <v>0</v>
      </c>
      <c r="N31" s="1180">
        <f t="shared" si="18"/>
        <v>43</v>
      </c>
      <c r="O31" s="1180">
        <f t="shared" si="18"/>
        <v>0</v>
      </c>
      <c r="P31" s="1180">
        <f t="shared" si="18"/>
        <v>0</v>
      </c>
      <c r="Q31" s="1119">
        <f t="shared" si="18"/>
        <v>168</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1113</v>
      </c>
      <c r="AC31" s="1118">
        <f t="shared" si="19"/>
        <v>76</v>
      </c>
      <c r="AD31" s="1118">
        <f t="shared" si="19"/>
        <v>0</v>
      </c>
      <c r="AE31" s="1118">
        <f t="shared" si="19"/>
        <v>0</v>
      </c>
      <c r="AF31" s="1125">
        <f t="shared" si="19"/>
        <v>1451</v>
      </c>
      <c r="AG31" s="1125">
        <f t="shared" si="19"/>
        <v>0</v>
      </c>
      <c r="AH31" s="1125">
        <f t="shared" si="19"/>
        <v>60</v>
      </c>
      <c r="AI31" s="1125">
        <f t="shared" si="19"/>
        <v>0</v>
      </c>
      <c r="AJ31" s="1118">
        <f t="shared" si="19"/>
        <v>0</v>
      </c>
      <c r="AK31" s="1125">
        <f t="shared" si="19"/>
        <v>0</v>
      </c>
      <c r="AL31" s="1125">
        <f t="shared" si="19"/>
        <v>0</v>
      </c>
      <c r="AM31" s="1125">
        <f t="shared" si="19"/>
        <v>2707</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256</v>
      </c>
      <c r="BD31" s="1117">
        <f t="shared" si="19"/>
        <v>1127</v>
      </c>
      <c r="BE31" s="1117">
        <f t="shared" si="19"/>
        <v>0</v>
      </c>
      <c r="BF31" s="1127">
        <f t="shared" si="19"/>
        <v>0</v>
      </c>
      <c r="BG31" s="1223">
        <f>IF(ISNUMBER(Datos!K31/Datos!J31),Datos!K31/Datos!J31," - ")</f>
        <v>0.9307901907356948</v>
      </c>
      <c r="BH31" s="1223">
        <f>IF(ISNUMBER(((Datos!L31/Datos!K31)*11)/factor_trimestre),((Datos!L31/Datos!K31)*11)/factor_trimestre," - ")</f>
        <v>6.1317330210772845</v>
      </c>
      <c r="BI31" s="1103">
        <f>IF(ISNUMBER(Datos!J31/Datos!I31),Datos!J31/Datos!I31," - ")</f>
        <v>0.54548156956004756</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-0.88755980861244022</v>
      </c>
      <c r="BM31" s="1188">
        <f>IF(ISNUMBER((Datos!P31-Datos!Q31+R31)/(Datos!R31-Datos!P31+Datos!Q31-R31)),(Datos!P31-Datos!Q31+R31)/(Datos!R31-Datos!P31+Datos!Q31-R31)," - ")</f>
        <v>3.518164435946463E-2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422.85714285714283</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1.2565617248750864</v>
      </c>
      <c r="F33" s="673">
        <f>IF(ISNUMBER(STDEV(F8:F30)),STDEV(F8:F30),"-")</f>
        <v>607.72888692244999</v>
      </c>
      <c r="G33" s="674">
        <f>IF(ISNUMBER(STDEV(G8:G30)),STDEV(G8:G30),"-")</f>
        <v>617.63188296682267</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516.19763656956047</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75.691101571736013</v>
      </c>
      <c r="BD33" s="673"/>
      <c r="BE33" s="673">
        <f>IF(ISNUMBER(STDEV(BE8:BE30)),STDEV(BE8:BE30),"-")</f>
        <v>0</v>
      </c>
      <c r="BF33" s="678">
        <f>IF(ISNUMBER(STDEV(BF8:BF30)),STDEV(BF8:BF30),"-")</f>
        <v>0</v>
      </c>
      <c r="BG33" s="1052">
        <f>IF(ISNUMBER(STDEV(BG8:BG30)),STDEV(BG8:BG30),"-")</f>
        <v>0.13848743955877132</v>
      </c>
      <c r="BH33" s="1058">
        <f>IF(ISNUMBER(STDEV(BH8:BH30)),STDEV(BH8:BH30),"-")</f>
        <v>5.0459314531472028</v>
      </c>
      <c r="BI33" s="273">
        <f>IF(ISNUMBER(STDEV(BI8:BI30)),STDEV(BI8:BI30),"-")</f>
        <v>9.8549558810565818E-2</v>
      </c>
      <c r="BJ33" s="244" t="str">
        <f>IF(ISNUMBER(BL33/BM33),BL33/BM33," - ")</f>
        <v xml:space="preserve"> - </v>
      </c>
      <c r="BK33" s="709"/>
      <c r="BL33" s="681">
        <f>IF(ISNUMBER(STDEV(BL8:BL30)),STDEV(BL8:BL30),"-")</f>
        <v>0.5270719463631327</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CM3SFQusjydjPcCtgCPsNdLNGh9upyOvXWRFfjJje75lx5zX/XSPKhnnwGKfoH9Be7rf/mbI29IznmGpNoroNw==" saltValue="HR7pZ8EI8+WnV7OOYpngn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CATALUÑA</v>
      </c>
    </row>
    <row r="2" spans="1:73" ht="16.5" customHeight="1">
      <c r="C2" s="647" t="str">
        <f>Criterios!A10 &amp;"  "&amp;Criterios!B10 &amp; "  " &amp; IF(NOT(ISBLANK(Criterios!A11)),Criterios!A11 &amp;"  "&amp;Criterios!B11,"")</f>
        <v>Provincias  TARRAGONA  Resumenes por Partidos Judiciales  VALLS</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2 al 2</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52</v>
      </c>
      <c r="G10" s="552">
        <f>IF(ISNUMBER(Datos!I10),Datos!I10," - ")</f>
        <v>52</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2</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9</v>
      </c>
      <c r="Z10" s="805">
        <f>IF(ISNUMBER(Datos!Q10),Datos!Q10," - ")</f>
        <v>4</v>
      </c>
      <c r="AA10" s="551">
        <f>IF(ISNUMBER(Datos!L10),Datos!L10,"-")</f>
        <v>51</v>
      </c>
      <c r="AB10" s="549"/>
      <c r="AC10" s="549"/>
      <c r="AD10" s="563"/>
      <c r="AE10" s="563">
        <f>IF(ISNUMBER(Datos!R10),Datos!R10," - ")</f>
        <v>25</v>
      </c>
      <c r="AF10" s="693" t="str">
        <f>IF(ISNUMBER(Datos!BV10),Datos!BV10," - ")</f>
        <v xml:space="preserve"> - </v>
      </c>
      <c r="AG10" s="552" t="str">
        <f>IF(ISNUMBER(Datos!DV10),Datos!DV10," - ")</f>
        <v xml:space="preserve"> - </v>
      </c>
      <c r="AH10" s="553"/>
      <c r="AI10" s="554"/>
      <c r="AJ10" s="552">
        <f>IF(ISNUMBER(Datos!M10),Datos!M10," - ")</f>
        <v>3</v>
      </c>
      <c r="AK10" s="693">
        <f>IF(ISNUMBER(Datos!N10),Datos!N10," - ")</f>
        <v>2</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17</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-7.407407407407407E-2</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3</v>
      </c>
      <c r="B12" s="746" t="s">
        <v>321</v>
      </c>
      <c r="C12" s="747" t="str">
        <f>Datos!A12</f>
        <v xml:space="preserve">Jdos. 1ª Instª. e Instr.                        </v>
      </c>
      <c r="D12" s="601"/>
      <c r="E12" s="1558">
        <f>IF(ISNUMBER(Datos!AQ12),Datos!AQ12," - ")</f>
        <v>3</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154</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60</v>
      </c>
      <c r="AA12" s="551" t="str">
        <f>IF(ISNUMBER(IF(J_V="SI",Datos!L12,Datos!L12+Datos!AB12)-IF(Monitorios="SI",Datos!CD12,0)),
                          IF(J_V="SI",Datos!L12,Datos!L12+Datos!AB12)-IF(Monitorios="SI",Datos!CD12,0),
                          " - ")</f>
        <v xml:space="preserve"> - </v>
      </c>
      <c r="AB12" s="549"/>
      <c r="AC12" s="549"/>
      <c r="AD12" s="563"/>
      <c r="AE12" s="563">
        <f>IF(ISNUMBER(Datos!R12),Datos!R12," - ")</f>
        <v>2572</v>
      </c>
      <c r="AF12" s="693" t="str">
        <f>IF(ISNUMBER(Datos!BV12),Datos!BV12," - ")</f>
        <v xml:space="preserve"> - </v>
      </c>
      <c r="AG12" s="552" t="str">
        <f>IF(ISNUMBER(Datos!DV12),Datos!DV12," - ")</f>
        <v xml:space="preserve"> - </v>
      </c>
      <c r="AH12" s="553"/>
      <c r="AI12" s="554"/>
      <c r="AJ12" s="552">
        <f>IF(ISNUMBER(Datos!M12),Datos!M12," - ")</f>
        <v>172</v>
      </c>
      <c r="AK12" s="693">
        <f>IF(ISNUMBER(Datos!N12),Datos!N12," - ")</f>
        <v>262</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9.813084112149534</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3.7933817594834544E-2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3</v>
      </c>
      <c r="F14" s="1197">
        <f>SUBTOTAL(9,F8:F13)</f>
        <v>52</v>
      </c>
      <c r="G14" s="1197">
        <f>SUBTOTAL(9,G8:G13)</f>
        <v>52</v>
      </c>
      <c r="H14" s="1211"/>
      <c r="I14" s="1197">
        <f t="shared" ref="I14:N14" si="1">SUBTOTAL(9,I8:I13)</f>
        <v>0</v>
      </c>
      <c r="J14" s="1164">
        <f t="shared" si="1"/>
        <v>0</v>
      </c>
      <c r="K14" s="1211">
        <f t="shared" si="1"/>
        <v>0</v>
      </c>
      <c r="L14" s="1211">
        <f t="shared" si="1"/>
        <v>0</v>
      </c>
      <c r="M14" s="1211">
        <f t="shared" si="1"/>
        <v>0</v>
      </c>
      <c r="N14" s="1211">
        <f t="shared" si="1"/>
        <v>156</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9</v>
      </c>
      <c r="Z14" s="1210">
        <f t="shared" si="3"/>
        <v>64</v>
      </c>
      <c r="AA14" s="1199">
        <f t="shared" si="3"/>
        <v>51</v>
      </c>
      <c r="AB14" s="1199">
        <f t="shared" si="3"/>
        <v>0</v>
      </c>
      <c r="AC14" s="1199">
        <f t="shared" si="3"/>
        <v>0</v>
      </c>
      <c r="AD14" s="1199">
        <f t="shared" si="3"/>
        <v>0</v>
      </c>
      <c r="AE14" s="1199">
        <f t="shared" si="3"/>
        <v>2597</v>
      </c>
      <c r="AF14" s="1211">
        <f t="shared" si="3"/>
        <v>0</v>
      </c>
      <c r="AG14" s="1211">
        <f t="shared" si="3"/>
        <v>0</v>
      </c>
      <c r="AH14" s="1211">
        <f t="shared" si="3"/>
        <v>0</v>
      </c>
      <c r="AI14" s="1211">
        <f t="shared" si="3"/>
        <v>0</v>
      </c>
      <c r="AJ14" s="1211">
        <f t="shared" si="3"/>
        <v>175</v>
      </c>
      <c r="AK14" s="1211">
        <f t="shared" si="3"/>
        <v>264</v>
      </c>
      <c r="AL14" s="1211">
        <f t="shared" si="3"/>
        <v>0</v>
      </c>
      <c r="AM14" s="1211">
        <f t="shared" si="3"/>
        <v>0</v>
      </c>
      <c r="AN14" s="1211">
        <f t="shared" si="3"/>
        <v>0</v>
      </c>
      <c r="AO14" s="1203">
        <f>IF(ISNUMBER(((NºAsuntos!I14/NºAsuntos!G14)*11)/factor_trimestre),((NºAsuntos!I14/NºAsuntos!G14)*11)/factor_trimestre," - ")</f>
        <v>9.912442396313363</v>
      </c>
      <c r="AP14" s="1213" t="str">
        <f>IF(ISNUMBER(Datos!CI14/Datos!CJ14),Datos!CI14/Datos!CJ14," - ")</f>
        <v xml:space="preserve"> - </v>
      </c>
      <c r="AQ14" s="1236">
        <f t="shared" ref="AQ14:AV14" si="4">SUBTOTAL(9,AQ9:AQ13)</f>
        <v>0</v>
      </c>
      <c r="AR14" s="1236">
        <f t="shared" si="4"/>
        <v>-3.6140256479239526E-2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3</v>
      </c>
      <c r="B17" s="746" t="s">
        <v>511</v>
      </c>
      <c r="C17" s="765" t="str">
        <f>Datos!A17</f>
        <v xml:space="preserve">Jdos. 1ª Instª. e Instr.                        </v>
      </c>
      <c r="D17" s="593"/>
      <c r="E17" s="1558">
        <f>IF(ISNUMBER(Datos!AQ17),Datos!AQ17," - ")</f>
        <v>3</v>
      </c>
      <c r="F17" s="543">
        <f>IF(ISNUMBER(AA17+Y17-Datos!J17-K16),AA17+Y17-Datos!J17-K16," - ")</f>
        <v>1202</v>
      </c>
      <c r="G17" s="552">
        <f>IF(ISNUMBER(IF(D_I="SI",Datos!I17,Datos!I17+Datos!AC17)),IF(D_I="SI",Datos!I17,Datos!I17+Datos!AC17)," - ")</f>
        <v>1202</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11</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1041</v>
      </c>
      <c r="Z17" s="805">
        <f>IF(ISNUMBER(Datos!Q17),Datos!Q17," - ")</f>
        <v>11</v>
      </c>
      <c r="AA17" s="551">
        <f>IF(ISNUMBER(IF(D_I="SI",Datos!L17,Datos!L17+Datos!AF17)),IF(D_I="SI",Datos!L17,Datos!L17+Datos!AF17)," - ")</f>
        <v>1178</v>
      </c>
      <c r="AB17" s="549"/>
      <c r="AC17" s="549"/>
      <c r="AD17" s="563"/>
      <c r="AE17" s="563">
        <f>IF(ISNUMBER(Datos!R17),Datos!R17," - ")</f>
        <v>110</v>
      </c>
      <c r="AF17" s="693" t="str">
        <f>IF(ISNUMBER(Datos!BV17),Datos!BV17," - ")</f>
        <v xml:space="preserve"> - </v>
      </c>
      <c r="AG17" s="552"/>
      <c r="AH17" s="553"/>
      <c r="AI17" s="554"/>
      <c r="AJ17" s="552">
        <f>IF(ISNUMBER(Datos!M17),Datos!M17," - ")</f>
        <v>78</v>
      </c>
      <c r="AK17" s="693">
        <f>IF(ISNUMBER(Datos!N17),Datos!N17," - ")</f>
        <v>812</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3.3948126801152738</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226</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1</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63</v>
      </c>
      <c r="Z18" s="805">
        <f>IF(ISNUMBER(Datos!Q18),Datos!Q18," - ")</f>
        <v>1</v>
      </c>
      <c r="AA18" s="551">
        <f>IF(ISNUMBER(Datos!L18),Datos!L18,"-")</f>
        <v>222</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3</v>
      </c>
      <c r="AK18" s="693">
        <f>IF(ISNUMBER(Datos!N18),Datos!N18," - ")</f>
        <v>51</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10.571428571428571</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3</v>
      </c>
      <c r="F23" s="1197">
        <f>SUBTOTAL(9,F16:F22)</f>
        <v>1202</v>
      </c>
      <c r="G23" s="1197">
        <f>SUBTOTAL(9,G16:G22)</f>
        <v>1428</v>
      </c>
      <c r="H23" s="1240">
        <f>SUBTOTAL(9,H16:H22)</f>
        <v>0</v>
      </c>
      <c r="I23" s="1217">
        <f>SUBTOTAL(9,I16:I22)</f>
        <v>0</v>
      </c>
      <c r="J23" s="1164">
        <f>SUBTOTAL(9,J15:J22)</f>
        <v>0</v>
      </c>
      <c r="K23" s="1240">
        <f t="shared" ref="K23:S23" si="5">SUBTOTAL(9,K16:K22)</f>
        <v>0</v>
      </c>
      <c r="L23" s="1240">
        <f t="shared" si="5"/>
        <v>0</v>
      </c>
      <c r="M23" s="1240">
        <f t="shared" si="5"/>
        <v>0</v>
      </c>
      <c r="N23" s="1240">
        <f t="shared" si="5"/>
        <v>12</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1104</v>
      </c>
      <c r="Z23" s="1240">
        <f t="shared" si="6"/>
        <v>12</v>
      </c>
      <c r="AA23" s="1240">
        <f t="shared" si="6"/>
        <v>1400</v>
      </c>
      <c r="AB23" s="1240">
        <f t="shared" si="6"/>
        <v>0</v>
      </c>
      <c r="AC23" s="1240">
        <f t="shared" si="6"/>
        <v>0</v>
      </c>
      <c r="AD23" s="1240">
        <f t="shared" si="6"/>
        <v>0</v>
      </c>
      <c r="AE23" s="1240">
        <f t="shared" si="6"/>
        <v>110</v>
      </c>
      <c r="AF23" s="1240">
        <f t="shared" si="6"/>
        <v>0</v>
      </c>
      <c r="AG23" s="1240">
        <f t="shared" si="6"/>
        <v>0</v>
      </c>
      <c r="AH23" s="1240">
        <f t="shared" si="6"/>
        <v>0</v>
      </c>
      <c r="AI23" s="1240">
        <f t="shared" si="6"/>
        <v>0</v>
      </c>
      <c r="AJ23" s="1240">
        <f t="shared" si="6"/>
        <v>81</v>
      </c>
      <c r="AK23" s="1240">
        <f t="shared" si="6"/>
        <v>863</v>
      </c>
      <c r="AL23" s="1240">
        <f t="shared" si="6"/>
        <v>0</v>
      </c>
      <c r="AM23" s="1240">
        <f t="shared" si="6"/>
        <v>0</v>
      </c>
      <c r="AN23" s="1240">
        <f t="shared" si="6"/>
        <v>0</v>
      </c>
      <c r="AO23" s="1242">
        <f>IF(ISNUMBER(((NºAsuntos!I23/NºAsuntos!G23)*11)/factor_trimestre),((NºAsuntos!I23/NºAsuntos!G23)*11)/factor_trimestre," - ")</f>
        <v>3.804347826086957</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6</v>
      </c>
      <c r="F31" s="1117">
        <f t="shared" si="12"/>
        <v>1254</v>
      </c>
      <c r="G31" s="1117">
        <f t="shared" si="12"/>
        <v>1480</v>
      </c>
      <c r="H31" s="1118">
        <f t="shared" si="12"/>
        <v>0</v>
      </c>
      <c r="I31" s="1117">
        <f t="shared" si="12"/>
        <v>0</v>
      </c>
      <c r="J31" s="1119">
        <f t="shared" si="12"/>
        <v>0</v>
      </c>
      <c r="K31" s="1117">
        <f t="shared" si="12"/>
        <v>0</v>
      </c>
      <c r="L31" s="1120">
        <f t="shared" si="12"/>
        <v>0</v>
      </c>
      <c r="M31" s="1117">
        <f t="shared" si="12"/>
        <v>0</v>
      </c>
      <c r="N31" s="1118">
        <f t="shared" si="12"/>
        <v>168</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1113</v>
      </c>
      <c r="Z31" s="1124">
        <f t="shared" si="13"/>
        <v>76</v>
      </c>
      <c r="AA31" s="1125">
        <f t="shared" si="13"/>
        <v>1451</v>
      </c>
      <c r="AB31" s="1125">
        <f t="shared" si="13"/>
        <v>0</v>
      </c>
      <c r="AC31" s="1125">
        <f t="shared" si="13"/>
        <v>0</v>
      </c>
      <c r="AD31" s="1126">
        <f t="shared" si="13"/>
        <v>0</v>
      </c>
      <c r="AE31" s="1126">
        <f t="shared" si="13"/>
        <v>2707</v>
      </c>
      <c r="AF31" s="1127">
        <f t="shared" si="13"/>
        <v>0</v>
      </c>
      <c r="AG31" s="1128">
        <f t="shared" si="13"/>
        <v>0</v>
      </c>
      <c r="AH31" s="1129">
        <f t="shared" si="13"/>
        <v>0</v>
      </c>
      <c r="AI31" s="1127">
        <f t="shared" si="13"/>
        <v>0</v>
      </c>
      <c r="AJ31" s="1117">
        <f t="shared" si="13"/>
        <v>256</v>
      </c>
      <c r="AK31" s="1117">
        <f t="shared" si="13"/>
        <v>1127</v>
      </c>
      <c r="AL31" s="1117">
        <f t="shared" si="13"/>
        <v>0</v>
      </c>
      <c r="AM31" s="1130">
        <f t="shared" si="13"/>
        <v>0</v>
      </c>
      <c r="AN31" s="1120">
        <f>IF(ISNUMBER(Datos!K31/Datos!J31),Datos!K31/Datos!J31," - ")</f>
        <v>0.9307901907356948</v>
      </c>
      <c r="AO31" s="1120">
        <f>IF(ISNUMBER(FIND("06",Criterios!A8,1)),(IF(ISNUMBER(((Datos!R31/Datos!Q31)*11)/factor_trimestre),((Datos!R31/Datos!Q31)*11)/factor_trimestre," - ")),(IF(ISNUMBER(((Datos!L31/Datos!K31)*11)/factor_trimestre),((Datos!L31/Datos!K31)*11)/factor_trimestre," - ")))</f>
        <v>6.1317330210772845</v>
      </c>
      <c r="AP31" s="1131" t="str">
        <f>IF(ISNUMBER(Datos!CI31/Datos!CJ31),Datos!CI31/Datos!CJ31," - ")</f>
        <v xml:space="preserve"> - </v>
      </c>
      <c r="AQ31" s="1131">
        <f>IF(OR(ISNUMBER(FIND("01",Criterios!A8,1)),ISNUMBER(FIND("02",Criterios!A8,1)),ISNUMBER(FIND("03",Criterios!A8,1)),ISNUMBER(FIND("04",Criterios!A8,1))),(J31-Y31+K31)/(F31-K31),(I31-Y31+K31)/(F31-K31))</f>
        <v>-0.88755980861244022</v>
      </c>
      <c r="AR31" s="1131">
        <f>IF(ISNUMBER((Datos!P31-Datos!Q31+O31)/(Datos!R31-Datos!P31+Datos!Q31-O31)),(Datos!P31-Datos!Q31+O31)/(Datos!R31-Datos!P31+Datos!Q31-O31)," - ")</f>
        <v>3.518164435946463E-2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422.85714285714283</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607.72888692244999</v>
      </c>
      <c r="G33" s="674">
        <f>IF(ISNUMBER(STDEV(G8:G30)),STDEV(G8:G30),"-")</f>
        <v>617.63188296682267</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75.691101571736013</v>
      </c>
      <c r="AK33" s="276"/>
      <c r="AL33" s="276">
        <f>IF(ISNUMBER(STDEV(AL8:AL30)),STDEV(AL8:AL30),"-")</f>
        <v>0</v>
      </c>
      <c r="AM33" s="278">
        <f>IF(ISNUMBER(STDEV(AM8:AM30)),STDEV(AM8:AM30),"-")</f>
        <v>0</v>
      </c>
      <c r="AN33" s="660">
        <f>IF(ISNUMBER(STDEV(AN8:AN30)),STDEV(AN8:AN30),"-")</f>
        <v>0</v>
      </c>
      <c r="AO33" s="661">
        <f>IF(ISNUMBER(STDEV(AO8:AO30)),STDEV(AO8:AO30),"-")</f>
        <v>5.0266280801204806</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IR/f20NDTnWwXhaspaLQ9sSU6fPLT2cIfhvQF3SKjsflBrkVr8h6bfTXHzMMd0I1OAmDm5R10294jEH6sgXl+A==" saltValue="uRo34LunBbeThaO6gpkmG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2 al 2</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xXLBuUlbcidFu3bCqvzNl+OtLhp7fN6yhaI44dkTbGbhADRHuysUkuJ9II6moFzG2nqcv+GSEFyGAGtUN2E0rQ==" saltValue="8P4X8MhQIoC4/8tMdC5Dd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TARRAGONA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N6wTdalJtclzmx+f8eINgvBME5D6Wq4DILQ3kc+vqS1RdhX4vDqmGfcUnS2F98vouFfPokAFH5ZYoiYmCtq/vA==" saltValue="F/qUJa3WV9NjacvvcFA7V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CATALUÑA</v>
      </c>
      <c r="F1" s="856"/>
    </row>
    <row r="2" spans="1:75" ht="16.5" customHeight="1">
      <c r="C2" s="567" t="str">
        <f>Criterios!A10 &amp;"  "&amp;Criterios!B10 &amp; "  " &amp; IF(NOT(ISBLANK(Criterios!A11)),Criterios!A11 &amp;"  "&amp;Criterios!B11,"")</f>
        <v>Provincias  TARRAGONA  Resumenes por Partidos Judiciales  VALLS</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0.26881720430107525</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0.19008246806089987</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KSIaSDM2pWNbmMUucPXihBrn/kM5dBwtaOQXz2oPhFlMrsegI9Goz8dKLRpb8SzHXpMNMdf8P0bcqT4fwACYTw==" saltValue="4I0hse4p+oAi7UQh4LBWQ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lI1vlP6JOF15gExq1LmgUnrWmSrsDgS4o6rcW/GZOY8QAsHCXN9MBa0QkImftlamH+9ACBk5EG6Wa9bKDM5fag==" saltValue="SGfKBmefahaIoG9kcV4TD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CATALUÑA</v>
      </c>
      <c r="C2" s="436"/>
      <c r="D2" s="436"/>
      <c r="E2" s="436"/>
      <c r="F2" s="436"/>
    </row>
    <row r="3" spans="1:14" ht="19.5">
      <c r="A3" s="438" t="s">
        <v>159</v>
      </c>
      <c r="B3" s="439" t="str">
        <f>Criterios!A10 &amp;"  "&amp;Criterios!B10</f>
        <v>Provincias  TARRAGONA</v>
      </c>
      <c r="D3" s="436"/>
      <c r="E3" s="436"/>
      <c r="F3" s="436"/>
    </row>
    <row r="4" spans="1:14" ht="13.5" thickBot="1">
      <c r="A4" s="436"/>
      <c r="B4" s="439" t="str">
        <f>Criterios!A11 &amp;"  "&amp;Criterios!B11</f>
        <v>Resumenes por Partidos Judiciales  VALLS</v>
      </c>
      <c r="C4" s="436"/>
      <c r="D4" s="436"/>
      <c r="E4" s="436"/>
      <c r="F4" s="436"/>
    </row>
    <row r="5" spans="1:14" ht="15.75" customHeight="1">
      <c r="A5" s="1579" t="str">
        <f>"Año:  " &amp;Criterios!B5 &amp; "     Trimestre   " &amp;Criterios!D5 &amp; " al " &amp;Criterios!D6</f>
        <v>Año:  2022     Trimestre   2 al 2</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52</v>
      </c>
      <c r="D10" s="452">
        <f>IF(ISNUMBER(C10/Datos!BH10),C10/Datos!BH10," - ")</f>
        <v>52</v>
      </c>
      <c r="E10" s="451">
        <f>IF(ISNUMBER(Datos!J10),Datos!J10," - ")</f>
        <v>8</v>
      </c>
      <c r="F10" s="452">
        <f>IF(ISNUMBER(E10/B10),E10/B10," - ")</f>
        <v>8</v>
      </c>
      <c r="G10" s="451">
        <f>IF(ISNUMBER(Datos!K10),Datos!K10," - ")</f>
        <v>9</v>
      </c>
      <c r="H10" s="452">
        <f>IF(ISNUMBER(G10/B10),G10/B10," - ")</f>
        <v>9</v>
      </c>
      <c r="I10" s="451">
        <f>IF(ISNUMBER(Datos!L10),Datos!L10," - ")</f>
        <v>51</v>
      </c>
      <c r="J10" s="452">
        <f>IF(ISNUMBER(I10/B10),I10/B10," - ")</f>
        <v>51</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3</v>
      </c>
      <c r="C12" s="451">
        <f>IF(ISNUMBER(IF(J_V="SI",Datos!I12,Datos!I12+Datos!Y12)),IF(J_V="SI",Datos!I12,Datos!I12+Datos!Y12)," - ")</f>
        <v>1948</v>
      </c>
      <c r="D12" s="452">
        <f>IF(ISNUMBER(C12/Datos!BH12),C12/Datos!BH12," - ")</f>
        <v>649.33333333333337</v>
      </c>
      <c r="E12" s="451">
        <f>IF(ISNUMBER(IF(J_V="SI",Datos!J12,Datos!J12+Datos!Z12)),IF(J_V="SI",Datos!J12,Datos!J12+Datos!Z12)," - ")</f>
        <v>794</v>
      </c>
      <c r="F12" s="452">
        <f>IF(ISNUMBER(E12/B12),E12/B12," - ")</f>
        <v>264.66666666666669</v>
      </c>
      <c r="G12" s="451">
        <f>IF(ISNUMBER(IF(J_V="SI",Datos!K12,Datos!K12+Datos!AA12)),IF(J_V="SI",Datos!K12,Datos!K12+Datos!AA12)," - ")</f>
        <v>642</v>
      </c>
      <c r="H12" s="452">
        <f>IF(ISNUMBER(G12/B12),G12/B12," - ")</f>
        <v>214</v>
      </c>
      <c r="I12" s="451">
        <f>IF(ISNUMBER(IF(J_V="SI",Datos!L12,Datos!L12+Datos!AB12)),IF(J_V="SI",Datos!L12,Datos!L12+Datos!AB12)," - ")</f>
        <v>2100</v>
      </c>
      <c r="J12" s="452">
        <f>IF(ISNUMBER(I12/B12),I12/B12," - ")</f>
        <v>700</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3</v>
      </c>
      <c r="C14" s="1146">
        <f>SUBTOTAL(9,C8:C13)</f>
        <v>2000</v>
      </c>
      <c r="D14" s="1147" t="str">
        <f>IF(ISNUMBER(C14/Datos!BI14),C14/Datos!BI14," - ")</f>
        <v xml:space="preserve"> - </v>
      </c>
      <c r="E14" s="1146">
        <f>SUBTOTAL(9,E8:E13)</f>
        <v>802</v>
      </c>
      <c r="F14" s="1147">
        <f>IF(ISNUMBER(E14/B14),E14/B14," - ")</f>
        <v>267.33333333333331</v>
      </c>
      <c r="G14" s="1146">
        <f>SUBTOTAL(9,G8:G13)</f>
        <v>651</v>
      </c>
      <c r="H14" s="1147">
        <f>IF(ISNUMBER(G14/B14),G14/B14," - ")</f>
        <v>217</v>
      </c>
      <c r="I14" s="1146">
        <f>SUBTOTAL(9,I8:I13)</f>
        <v>2151</v>
      </c>
      <c r="J14" s="1147">
        <f>IF(ISNUMBER(I14/B14),I14/B14," - ")</f>
        <v>717</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3</v>
      </c>
      <c r="C17" s="451">
        <f>IF(ISNUMBER(IF(D_I="SI",Datos!I17,Datos!I17+Datos!AC17)),IF(D_I="SI",Datos!I17,Datos!I17+Datos!AC17)," - ")</f>
        <v>1202</v>
      </c>
      <c r="D17" s="452">
        <f>IF(ISNUMBER(C17/Datos!BH17),C17/Datos!BH17," - ")</f>
        <v>400.66666666666669</v>
      </c>
      <c r="E17" s="451">
        <f>IF(ISNUMBER(IF(D_I="SI",Datos!J17,Datos!J17+Datos!AD17)),IF(D_I="SI",Datos!J17,Datos!J17+Datos!AD17)," - ")</f>
        <v>1017</v>
      </c>
      <c r="F17" s="452">
        <f>IF(ISNUMBER(E17/B17),E17/B17," - ")</f>
        <v>339</v>
      </c>
      <c r="G17" s="451">
        <f>IF(ISNUMBER(IF(D_I="SI",Datos!K17,Datos!K17+Datos!AE17)),IF(D_I="SI",Datos!K17,Datos!K17+Datos!AE17)," - ")</f>
        <v>1041</v>
      </c>
      <c r="H17" s="452">
        <f>IF(ISNUMBER(G17/B17),G17/B17," - ")</f>
        <v>347</v>
      </c>
      <c r="I17" s="451">
        <f>IF(ISNUMBER(IF(D_I="SI",Datos!L17,Datos!L17+Datos!AF17)),IF(D_I="SI",Datos!L17,Datos!L17+Datos!AF17)," - ")</f>
        <v>1178</v>
      </c>
      <c r="J17" s="452">
        <f>IF(ISNUMBER(I17/B17),I17/B17," - ")</f>
        <v>392.66666666666669</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226</v>
      </c>
      <c r="D18" s="452">
        <f>IF(ISNUMBER(C18/Datos!BH18),C18/Datos!BH18," - ")</f>
        <v>226</v>
      </c>
      <c r="E18" s="451">
        <f>IF(ISNUMBER(IF(D_I="SI",Datos!J18,Datos!J18+Datos!AD18)),IF(D_I="SI",Datos!J18,Datos!J18+Datos!AD18)," - ")</f>
        <v>59</v>
      </c>
      <c r="F18" s="452">
        <f>IF(ISNUMBER(E18/B18),E18/B18," - ")</f>
        <v>59</v>
      </c>
      <c r="G18" s="451">
        <f>IF(ISNUMBER(IF(D_I="SI",Datos!K18,Datos!K18+Datos!AE18)),IF(D_I="SI",Datos!K18,Datos!K18+Datos!AE18)," - ")</f>
        <v>63</v>
      </c>
      <c r="H18" s="452">
        <f>IF(ISNUMBER(G18/B18),G18/B18," - ")</f>
        <v>63</v>
      </c>
      <c r="I18" s="451">
        <f>IF(ISNUMBER(IF(D_I="SI",Datos!L18,Datos!L18+Datos!AF18)),IF(D_I="SI",Datos!L18,Datos!L18+Datos!AF18)," - ")</f>
        <v>222</v>
      </c>
      <c r="J18" s="452">
        <f>IF(ISNUMBER(I18/B18),I18/B18," - ")</f>
        <v>222</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3</v>
      </c>
      <c r="C23" s="1146">
        <f>SUBTOTAL(9,C15:C22)</f>
        <v>1428</v>
      </c>
      <c r="D23" s="1147" t="str">
        <f>IF(ISNUMBER(C23/Datos!BI23),C23/Datos!BI23," - ")</f>
        <v xml:space="preserve"> - </v>
      </c>
      <c r="E23" s="1146">
        <f>SUBTOTAL(9,E15:E22)</f>
        <v>1076</v>
      </c>
      <c r="F23" s="1147">
        <f>IF(ISNUMBER(E23/B23),E23/B23," - ")</f>
        <v>358.66666666666669</v>
      </c>
      <c r="G23" s="1146">
        <f>SUBTOTAL(9,G15:G22)</f>
        <v>1104</v>
      </c>
      <c r="H23" s="1147">
        <f>IF(ISNUMBER(G23/B23),G23/B23," - ")</f>
        <v>368</v>
      </c>
      <c r="I23" s="1146">
        <f>SUBTOTAL(9,I15:I22)</f>
        <v>1400</v>
      </c>
      <c r="J23" s="1147">
        <f>IF(ISNUMBER(I23/B23),I23/B23," - ")</f>
        <v>466.66666666666669</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3</v>
      </c>
      <c r="C31" s="1084">
        <f>SUBTOTAL(9,C9:C30)</f>
        <v>3428</v>
      </c>
      <c r="D31" s="1085" t="str">
        <f>IF(ISNUMBER(C31/Datos!BI31),C31/Datos!BI31," - ")</f>
        <v xml:space="preserve"> - </v>
      </c>
      <c r="E31" s="1084">
        <f>SUBTOTAL(9,E9:E30)</f>
        <v>1878</v>
      </c>
      <c r="F31" s="1085">
        <f>IF(ISNUMBER(E31/B31),E31/B31," - ")</f>
        <v>626</v>
      </c>
      <c r="G31" s="1084">
        <f>SUBTOTAL(9,G9:G30)</f>
        <v>1755</v>
      </c>
      <c r="H31" s="1085">
        <f>IF(ISNUMBER(G31/B31),G31/B31," - ")</f>
        <v>585</v>
      </c>
      <c r="I31" s="1084">
        <f>SUBTOTAL(9,I9:I30)</f>
        <v>3551</v>
      </c>
      <c r="J31" s="1085">
        <f>IF(ISNUMBER(I31/B31),I31/B31," - ")</f>
        <v>1183.6666666666667</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OnhXdSDEMA9W9pZf2cePrDCs3aoa+dMq14TVcxotamyz+GUNGdd/UL+yZgdBW8NnEJL2es1zNDeA+DBufRm5ZA==" saltValue="W+UE/WbS9EomlJoiQ8INO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CATALUÑA</v>
      </c>
      <c r="F1" s="856"/>
      <c r="W1"/>
      <c r="X1"/>
      <c r="BE1" s="856"/>
    </row>
    <row r="2" spans="1:65" ht="16.5" customHeight="1">
      <c r="C2" s="567" t="str">
        <f>Criterios!A10 &amp;"  "&amp;Criterios!B10 &amp; "  " &amp; IF(NOT(ISBLANK(Criterios!A11)),Criterios!A11 &amp;"  "&amp;Criterios!B11,"")</f>
        <v>Provincias  TARRAGONA  Resumenes por Partidos Judiciales  VALLS</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2 al 2</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52</v>
      </c>
      <c r="G10" s="906">
        <f>IF(ISNUMBER(Datos!I10),Datos!I10," - ")</f>
        <v>52</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2</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9</v>
      </c>
      <c r="AC10" s="905" t="str">
        <f>IF(ISNUMBER(IF(D_I="SI",DatosP!K18,DatosP!K18+DatosP!AE18)),IF(D_I="SI",DatosP!K18,DatosP!K18+DatosP!AE18)," - ")</f>
        <v xml:space="preserve"> - </v>
      </c>
      <c r="AD10" s="907"/>
      <c r="AE10" s="907"/>
      <c r="AF10" s="910">
        <f>IF(ISNUMBER(Datos!L10),Datos!L10,"-")</f>
        <v>51</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3</v>
      </c>
      <c r="AM10" s="914">
        <f>IF(ISNUMBER(Datos!N10+DatosP!N18),Datos!N10+DatosP!N18," - ")</f>
        <v>2</v>
      </c>
      <c r="AN10" s="914">
        <f>IF(ISNUMBER(Datos!BW10+DatosP!BW18),Datos!BW10+DatosP!BW18," - ")</f>
        <v>0</v>
      </c>
      <c r="AO10" s="915">
        <f>IF(ISNUMBER(Datos!BX10+DatosP!BX18),Datos!BX10+DatosP!BX18," - ")</f>
        <v>0</v>
      </c>
      <c r="AP10" s="917">
        <f>IF(ISNUMBER(((Datos!L10/Datos!K10)*11)/factor_trimestre),((Datos!L10/Datos!K10)*11)/factor_trimestre," - ")</f>
        <v>17</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3</v>
      </c>
      <c r="B12" s="746" t="s">
        <v>321</v>
      </c>
      <c r="C12" s="747" t="str">
        <f>Datos!A12</f>
        <v xml:space="preserve">Jdos. 1ª Instª. e Instr.                        </v>
      </c>
      <c r="D12" s="601"/>
      <c r="E12" s="904">
        <f>IF(ISNUMBER(Datos!AQ12),Datos!AQ12," - ")</f>
        <v>3</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154</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60</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2572</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172</v>
      </c>
      <c r="AM12" s="914">
        <f>IF(ISNUMBER(Datos!N12+DatosP!N17),Datos!N12+DatosP!N17," - ")</f>
        <v>262</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9.813084112149534</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3.7933817594834544E-2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3</v>
      </c>
      <c r="F14" s="1256">
        <f t="shared" si="0"/>
        <v>52</v>
      </c>
      <c r="G14" s="1256">
        <f t="shared" si="0"/>
        <v>52</v>
      </c>
      <c r="H14" s="1256">
        <f t="shared" si="0"/>
        <v>0</v>
      </c>
      <c r="I14" s="1258">
        <f t="shared" si="0"/>
        <v>0</v>
      </c>
      <c r="J14" s="1257">
        <f t="shared" si="0"/>
        <v>0</v>
      </c>
      <c r="K14" s="1257">
        <f t="shared" si="0"/>
        <v>0</v>
      </c>
      <c r="L14" s="1259">
        <f t="shared" si="0"/>
        <v>0</v>
      </c>
      <c r="M14" s="1259">
        <f t="shared" si="0"/>
        <v>0</v>
      </c>
      <c r="N14" s="1257">
        <f t="shared" si="0"/>
        <v>156</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9</v>
      </c>
      <c r="AC14" s="1257">
        <f t="shared" si="1"/>
        <v>0</v>
      </c>
      <c r="AD14" s="1257">
        <f t="shared" si="1"/>
        <v>60</v>
      </c>
      <c r="AE14" s="1257">
        <f t="shared" si="1"/>
        <v>0</v>
      </c>
      <c r="AF14" s="1257">
        <f t="shared" si="1"/>
        <v>51</v>
      </c>
      <c r="AG14" s="1257">
        <f t="shared" si="1"/>
        <v>0</v>
      </c>
      <c r="AH14" s="1257">
        <f t="shared" si="1"/>
        <v>2572</v>
      </c>
      <c r="AI14" s="1257">
        <f t="shared" si="1"/>
        <v>0</v>
      </c>
      <c r="AJ14" s="1257">
        <f t="shared" si="1"/>
        <v>0</v>
      </c>
      <c r="AK14" s="1257">
        <f t="shared" si="1"/>
        <v>0</v>
      </c>
      <c r="AL14" s="1257">
        <f t="shared" si="1"/>
        <v>175</v>
      </c>
      <c r="AM14" s="1257">
        <f t="shared" si="1"/>
        <v>264</v>
      </c>
      <c r="AN14" s="1257">
        <f t="shared" si="1"/>
        <v>0</v>
      </c>
      <c r="AO14" s="1257">
        <f t="shared" si="1"/>
        <v>0</v>
      </c>
      <c r="AP14" s="1262">
        <f>IF(ISNUMBER(((Datos!L14/Datos!K14)*11)/factor_trimestre),((Datos!L14/Datos!K14)*11)/factor_trimestre," - ")</f>
        <v>10.385761589403975</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-0.17307692307692307</v>
      </c>
      <c r="AU14" s="1257" t="str">
        <f>IF(ISNUMBER((DatosP!#REF!-DatosP!#REF!+DatosP!#REF!)/(DatosP!#REF!+DatosP!#REF!-DatosP!#REF!-DatosP!#REF!)),(DatosP!#REF!-DatosP!#REF!+DatosP!#REF!)/(DatosP!#REF!+DatosP!#REF!-DatosP!#REF!-DatosP!#REF!)," - ")</f>
        <v xml:space="preserve"> - </v>
      </c>
      <c r="AV14" s="1263">
        <f>SUBTOTAL(9,AV9:AV13)</f>
        <v>3.7933817594834544E-2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3</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3.804347826086957</v>
      </c>
      <c r="AQ23" s="1262">
        <f>IF(ISNUMBER(((Datos!M23/Datos!L23)*11)/factor_trimestre),((Datos!M23/Datos!L23)*11)/factor_trimestre," - ")</f>
        <v>0.1735714285714286</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v>
      </c>
      <c r="AW23" s="1265">
        <f>IF(ISNUMBER((Datos!Q23-Datos!R23)/(Datos!S23-Datos!Q23+Datos!R23)),(Datos!Q23-Datos!R23)/(Datos!S23-Datos!Q23+Datos!R23)," - ")</f>
        <v>-6.9701280227596016E-2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3</v>
      </c>
      <c r="F31" s="1278">
        <f t="shared" si="8"/>
        <v>52</v>
      </c>
      <c r="G31" s="1278">
        <f t="shared" si="8"/>
        <v>52</v>
      </c>
      <c r="H31" s="1278">
        <f t="shared" si="8"/>
        <v>0</v>
      </c>
      <c r="I31" s="1279">
        <f t="shared" si="8"/>
        <v>0</v>
      </c>
      <c r="J31" s="1280">
        <f t="shared" si="8"/>
        <v>0</v>
      </c>
      <c r="K31" s="1280">
        <f t="shared" si="8"/>
        <v>0</v>
      </c>
      <c r="L31" s="1280">
        <f t="shared" si="8"/>
        <v>0</v>
      </c>
      <c r="M31" s="1280">
        <f t="shared" si="8"/>
        <v>0</v>
      </c>
      <c r="N31" s="1279">
        <f t="shared" si="8"/>
        <v>156</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9</v>
      </c>
      <c r="AC31" s="1284">
        <f t="shared" si="9"/>
        <v>0</v>
      </c>
      <c r="AD31" s="1284">
        <f t="shared" si="9"/>
        <v>60</v>
      </c>
      <c r="AE31" s="1284">
        <f t="shared" si="9"/>
        <v>0</v>
      </c>
      <c r="AF31" s="1285">
        <f t="shared" si="9"/>
        <v>51</v>
      </c>
      <c r="AG31" s="1285">
        <f t="shared" si="9"/>
        <v>0</v>
      </c>
      <c r="AH31" s="1285">
        <f t="shared" si="9"/>
        <v>2572</v>
      </c>
      <c r="AI31" s="1285">
        <f t="shared" si="9"/>
        <v>0</v>
      </c>
      <c r="AJ31" s="1286">
        <f t="shared" si="9"/>
        <v>0</v>
      </c>
      <c r="AK31" s="1286">
        <f t="shared" si="9"/>
        <v>0</v>
      </c>
      <c r="AL31" s="1278">
        <f t="shared" si="9"/>
        <v>175</v>
      </c>
      <c r="AM31" s="1278">
        <f t="shared" si="9"/>
        <v>264</v>
      </c>
      <c r="AN31" s="1278">
        <f t="shared" si="9"/>
        <v>0</v>
      </c>
      <c r="AO31" s="1278">
        <f t="shared" si="9"/>
        <v>0</v>
      </c>
      <c r="AP31" s="1278">
        <f>IF(ISNUMBER(((Datos!L31/Datos!K31)*11)/factor_trimestre),((Datos!L31/Datos!K31)*11)/factor_trimestre," - ")</f>
        <v>6.1317330210772845</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-0.17307692307692307</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3.518164435946463E-2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20.8</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1.3228756555322954</v>
      </c>
      <c r="F33" s="1006">
        <f>IF(ISNUMBER(STDEV(F8:F30)),STDEV(F8:F30),"-")</f>
        <v>28.481572990268639</v>
      </c>
      <c r="G33" s="1007">
        <f>IF(ISNUMBER(STDEV(G8:G30)),STDEV(G8:G30),"-")</f>
        <v>28.481572990268639</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4.9295030175464953</v>
      </c>
      <c r="AC33" s="1008">
        <f>IF(ISNUMBER(STDEV(AC8:AC30)),STDEV(AC8:AC30),"-")</f>
        <v>0</v>
      </c>
      <c r="AD33" s="1011"/>
      <c r="AE33" s="1011"/>
      <c r="AF33" s="1011"/>
      <c r="AG33" s="1011"/>
      <c r="AH33" s="1011"/>
      <c r="AI33" s="1011"/>
      <c r="AJ33" s="1012">
        <f>IF(ISNUMBER(STDEV(AJ8:AJ30)),STDEV(AJ8:AJ30),"-")</f>
        <v>0</v>
      </c>
      <c r="AK33" s="1014"/>
      <c r="AL33" s="1006">
        <f>IF(ISNUMBER(STDEV(AL8:AL30)),STDEV(AL8:AL30),"-")</f>
        <v>89.220326533064565</v>
      </c>
      <c r="AM33" s="1006"/>
      <c r="AN33" s="1006">
        <f>IF(ISNUMBER(STDEV(AN8:AN30)),STDEV(AN8:AN30),"-")</f>
        <v>0</v>
      </c>
      <c r="AO33" s="1012">
        <f>IF(ISNUMBER(STDEV(AO8:AO30)),STDEV(AO8:AO30),"-")</f>
        <v>0</v>
      </c>
      <c r="AP33" s="1065">
        <f>IF(ISNUMBER(STDEV(AP8:AP30)),STDEV(AP8:AP30),"-")</f>
        <v>5.3950055946720745</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FI5neAqTBxQXvsUzFrPso+CSBnytxnUk0muingSi/GpOFFj5H1KUARQCEiGEo3VXvz079JSTQpArI3zTrFHxSQ==" saltValue="nye6Wid4zhwPVzOWHp416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CATALUÑA</v>
      </c>
      <c r="C2" s="436"/>
      <c r="E2" s="436"/>
      <c r="F2" s="436"/>
      <c r="G2" s="436"/>
      <c r="H2" s="436"/>
    </row>
    <row r="3" spans="1:15" ht="39">
      <c r="A3" s="463" t="s">
        <v>280</v>
      </c>
      <c r="B3" s="439" t="str">
        <f>Criterios!A10 &amp;"  "&amp;Criterios!B10</f>
        <v>Provincias  TARRAGONA</v>
      </c>
      <c r="C3" s="463"/>
      <c r="F3" s="436"/>
      <c r="G3" s="436"/>
      <c r="H3" s="436"/>
    </row>
    <row r="4" spans="1:15" ht="13.5" thickBot="1">
      <c r="A4" s="436"/>
      <c r="B4" s="439" t="str">
        <f>Criterios!A11 &amp;"  "&amp;Criterios!B11</f>
        <v>Resumenes por Partidos Judiciales  VALLS</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3</v>
      </c>
      <c r="D12" s="451">
        <f>Datos!BK12</f>
        <v>0</v>
      </c>
      <c r="E12" s="451">
        <f>Datos!AQ12</f>
        <v>3</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3</v>
      </c>
      <c r="D17" s="451">
        <f>Datos!BK17</f>
        <v>0</v>
      </c>
      <c r="E17" s="451">
        <f>Datos!AQ17</f>
        <v>3</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ilJUxcCFxG/63nnjrANNbVTkwutfXPaiYO18P4FZTkQN7WuCzpDdcJtO46Y2WkLiFEFYXj0iH0/e1NessBin5A==" saltValue="uzlSA4QkvwOYIx1hs4Kgsw=="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CATALUÑA</v>
      </c>
      <c r="C2" s="475"/>
      <c r="D2" s="418"/>
    </row>
    <row r="3" spans="1:9" ht="19.5">
      <c r="A3" s="476" t="s">
        <v>16</v>
      </c>
      <c r="B3" s="477" t="str">
        <f>Criterios!A10 &amp;"  "&amp;Criterios!B10</f>
        <v>Provincias  TARRAGONA</v>
      </c>
      <c r="C3" s="475"/>
      <c r="D3" s="476"/>
    </row>
    <row r="4" spans="1:9" ht="13.5" thickBot="1">
      <c r="B4" s="477" t="str">
        <f>Criterios!A11 &amp;"  "&amp;Criterios!B11</f>
        <v>Resumenes por Partidos Judiciales  VALLS</v>
      </c>
    </row>
    <row r="5" spans="1:9" ht="15.75" customHeight="1">
      <c r="A5" s="1591" t="str">
        <f>"Año:  " &amp;Criterios!B5 &amp; "                  Trimestre   " &amp;Criterios!D5 &amp; " al " &amp;Criterios!D6</f>
        <v>Año:  2022                  Trimestre   2 al 2</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3</v>
      </c>
      <c r="E10" s="452">
        <f>IF(ISNUMBER(D10/B10),D10/B10," - ")</f>
        <v>3</v>
      </c>
      <c r="F10" s="451">
        <f>IF(ISNUMBER(Datos!N10),Datos!N10," - ")</f>
        <v>2</v>
      </c>
      <c r="G10" s="452">
        <f>IF(ISNUMBER(F10/B10),F10/B10," - ")</f>
        <v>2</v>
      </c>
      <c r="H10" s="451">
        <f>IF(ISNUMBER(Datos!O10),Datos!O10," - ")</f>
        <v>4</v>
      </c>
      <c r="I10" s="452">
        <f t="shared" ref="I10:I13" si="2">IF(ISNUMBER(H10/B10),H10/B10," - ")</f>
        <v>4</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3</v>
      </c>
      <c r="C12" s="458">
        <f>Datos!AQ12</f>
        <v>3</v>
      </c>
      <c r="D12" s="451">
        <f>IF(ISNUMBER(Datos!M12),Datos!M12," - ")</f>
        <v>172</v>
      </c>
      <c r="E12" s="452">
        <f t="shared" si="0"/>
        <v>57.333333333333336</v>
      </c>
      <c r="F12" s="451">
        <f>IF(ISNUMBER(Datos!N12),Datos!N12," - ")</f>
        <v>262</v>
      </c>
      <c r="G12" s="452">
        <f t="shared" si="1"/>
        <v>87.333333333333329</v>
      </c>
      <c r="H12" s="451">
        <f>IF(ISNUMBER(Datos!O12),Datos!O12," - ")</f>
        <v>252</v>
      </c>
      <c r="I12" s="452">
        <f t="shared" si="2"/>
        <v>84</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4</v>
      </c>
      <c r="C14" s="1148">
        <f>Datos!AR14</f>
        <v>3</v>
      </c>
      <c r="D14" s="1146">
        <f>SUBTOTAL(9,D9:D13)</f>
        <v>175</v>
      </c>
      <c r="E14" s="1147">
        <f t="shared" si="0"/>
        <v>43.75</v>
      </c>
      <c r="F14" s="1146">
        <f>SUBTOTAL(9,F9:F13)</f>
        <v>264</v>
      </c>
      <c r="G14" s="1147">
        <f t="shared" si="1"/>
        <v>66</v>
      </c>
      <c r="H14" s="1146">
        <f>SUBTOTAL(9,H9:H13)</f>
        <v>256</v>
      </c>
      <c r="I14" s="1147">
        <f>IF(ISNUMBER(H14/B14),H14/B14," - ")</f>
        <v>64</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3</v>
      </c>
      <c r="C17" s="481">
        <f>Datos!AQ17</f>
        <v>3</v>
      </c>
      <c r="D17" s="451">
        <f>IF(ISNUMBER(Datos!M17),Datos!M17," - ")</f>
        <v>78</v>
      </c>
      <c r="E17" s="452">
        <f t="shared" si="3"/>
        <v>26</v>
      </c>
      <c r="F17" s="451">
        <f>IF(ISNUMBER(Datos!N17),Datos!N17," - ")</f>
        <v>812</v>
      </c>
      <c r="G17" s="452">
        <f t="shared" si="4"/>
        <v>270.66666666666669</v>
      </c>
      <c r="H17" s="451">
        <f>IF(ISNUMBER(Datos!O17),Datos!O17," - ")</f>
        <v>0</v>
      </c>
      <c r="I17" s="452">
        <f t="shared" si="5"/>
        <v>0</v>
      </c>
    </row>
    <row r="18" spans="1:9">
      <c r="A18" s="450" t="str">
        <f>Datos!A18</f>
        <v>Jdos. Violencia contra la mujer</v>
      </c>
      <c r="B18" s="480">
        <f>Datos!AO18</f>
        <v>1</v>
      </c>
      <c r="C18" s="481">
        <f>Datos!AQ18</f>
        <v>0</v>
      </c>
      <c r="D18" s="451">
        <f>IF(ISNUMBER(Datos!M18),Datos!M18," - ")</f>
        <v>3</v>
      </c>
      <c r="E18" s="452">
        <f>IF(ISNUMBER(D18/B18),D18/B18," - ")</f>
        <v>3</v>
      </c>
      <c r="F18" s="451">
        <f>IF(ISNUMBER(Datos!N18),Datos!N18," - ")</f>
        <v>51</v>
      </c>
      <c r="G18" s="452">
        <f>IF(ISNUMBER(F18/B18),F18/B18," - ")</f>
        <v>51</v>
      </c>
      <c r="H18" s="451">
        <f>IF(ISNUMBER(Datos!O18),Datos!O18," - ")</f>
        <v>1</v>
      </c>
      <c r="I18" s="452">
        <f t="shared" si="5"/>
        <v>1</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4</v>
      </c>
      <c r="C23" s="1148">
        <f>Datos!AR23</f>
        <v>3</v>
      </c>
      <c r="D23" s="1146">
        <f>SUBTOTAL(9,D16:D22)</f>
        <v>81</v>
      </c>
      <c r="E23" s="1147">
        <f t="shared" si="3"/>
        <v>20.25</v>
      </c>
      <c r="F23" s="1146">
        <f>SUBTOTAL(9,F16:F22)</f>
        <v>863</v>
      </c>
      <c r="G23" s="1147">
        <f t="shared" si="4"/>
        <v>215.75</v>
      </c>
      <c r="H23" s="1146">
        <f>SUBTOTAL(9,H16:H22)</f>
        <v>1</v>
      </c>
      <c r="I23" s="1147">
        <f>IF(ISNUMBER(H23/B23),H23/B23," - ")</f>
        <v>0.25</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3</v>
      </c>
      <c r="C31" s="1084">
        <f>Datos!AR31</f>
        <v>3</v>
      </c>
      <c r="D31" s="1084">
        <f>SUBTOTAL(9,D8:D30)</f>
        <v>256</v>
      </c>
      <c r="E31" s="1085">
        <f>IF(ISNUMBER(D31/B31),D31/B31," - ")</f>
        <v>85.333333333333329</v>
      </c>
      <c r="F31" s="1084">
        <f>SUBTOTAL(9,F8:F30)</f>
        <v>1127</v>
      </c>
      <c r="G31" s="1085">
        <f>IF(ISNUMBER(F31/B31),F31/B31," - ")</f>
        <v>375.66666666666669</v>
      </c>
      <c r="H31" s="1084">
        <f>SUBTOTAL(9,H8:H30)</f>
        <v>257</v>
      </c>
      <c r="I31" s="1085">
        <f>IF(ISNUMBER(H31/B31),H31/B31," - ")</f>
        <v>85.666666666666671</v>
      </c>
    </row>
    <row r="34" spans="1:1">
      <c r="A34" s="439" t="str">
        <f>Criterios!A4</f>
        <v>Fecha Informe: 05 may. 2023</v>
      </c>
    </row>
    <row r="39" spans="1:1">
      <c r="A39" s="462"/>
    </row>
  </sheetData>
  <sheetProtection algorithmName="SHA-512" hashValue="kvdozh2lRFFilACScXLlliXeJCwdHNIjKB0Ukf7TCn/drXG9qg2T81Fq4OVml3g/UgfVqDBCObZlZu7Shrh1+A==" saltValue="eir2xmVS641Dx2hVKJBbH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CATALUÑA</v>
      </c>
    </row>
    <row r="3" spans="1:4" ht="19.5">
      <c r="A3" s="484" t="s">
        <v>48</v>
      </c>
      <c r="B3" s="439" t="str">
        <f>Criterios!A10 &amp;"  "&amp;Criterios!B10</f>
        <v>Provincias  TARRAGONA</v>
      </c>
    </row>
    <row r="4" spans="1:4" ht="13.5" thickBot="1">
      <c r="B4" s="439" t="str">
        <f>Criterios!A11 &amp;"  "&amp;Criterios!B11</f>
        <v>Resumenes por Partidos Judiciales  VALLS</v>
      </c>
    </row>
    <row r="5" spans="1:4" ht="12.75" customHeight="1">
      <c r="A5" s="1591" t="str">
        <f>"Año:  " &amp;Criterios!B5 &amp; "                  Trimestre   " &amp;Criterios!D5 &amp; " al " &amp;Criterios!D6</f>
        <v>Año:  2022                  Trimestre   2 al 2</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2</v>
      </c>
      <c r="C10" s="489">
        <f>IF(ISNUMBER(Datos!Q10),Datos!Q10," - ")</f>
        <v>4</v>
      </c>
      <c r="D10" s="456">
        <f>IF(ISNUMBER(Datos!R10),Datos!R10," - ")</f>
        <v>25</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154</v>
      </c>
      <c r="C12" s="489">
        <f>IF(ISNUMBER(Datos!Q12),Datos!Q12," - ")</f>
        <v>60</v>
      </c>
      <c r="D12" s="456">
        <f>IF(ISNUMBER(Datos!R12),Datos!R12," - ")</f>
        <v>2572</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156</v>
      </c>
      <c r="C14" s="1150">
        <f>SUBTOTAL(9,C9:C13)</f>
        <v>64</v>
      </c>
      <c r="D14" s="1148">
        <f>SUBTOTAL(9,D9:D13)</f>
        <v>2597</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11</v>
      </c>
      <c r="C17" s="489">
        <f>IF(ISNUMBER(Datos!Q17),Datos!Q17," - ")</f>
        <v>11</v>
      </c>
      <c r="D17" s="456">
        <f>IF(ISNUMBER(Datos!R17),Datos!R17," - ")</f>
        <v>110</v>
      </c>
    </row>
    <row r="18" spans="1:4">
      <c r="A18" s="450" t="str">
        <f>Datos!A18</f>
        <v>Jdos. Violencia contra la mujer</v>
      </c>
      <c r="B18" s="488">
        <f>IF(ISNUMBER(Datos!P18),Datos!P18," - ")</f>
        <v>1</v>
      </c>
      <c r="C18" s="489">
        <f>IF(ISNUMBER(Datos!Q18),Datos!Q18," - ")</f>
        <v>1</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12</v>
      </c>
      <c r="C23" s="1150">
        <f>SUBTOTAL(9,C16:C22)</f>
        <v>12</v>
      </c>
      <c r="D23" s="1148">
        <f>SUBTOTAL(9,D16:D22)</f>
        <v>110</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168</v>
      </c>
      <c r="C31" s="1089">
        <f>SUBTOTAL(9,C8:C30)</f>
        <v>76</v>
      </c>
      <c r="D31" s="1090">
        <f>SUBTOTAL(9,D8:D30)</f>
        <v>2707</v>
      </c>
    </row>
    <row r="32" spans="1:4" ht="7.5" customHeight="1"/>
    <row r="33" spans="1:1" ht="6" customHeight="1"/>
    <row r="34" spans="1:1">
      <c r="A34" s="439" t="str">
        <f>Criterios!A4</f>
        <v>Fecha Informe: 05 may. 2023</v>
      </c>
    </row>
    <row r="39" spans="1:1">
      <c r="A39" s="462"/>
    </row>
  </sheetData>
  <sheetProtection algorithmName="SHA-512" hashValue="iwgqR8S5SZWGqNpsJzY8tt0T6f2mor9Y7Rd//MghScg8GeX8/7QFh+QLbi2cJuT5nRkGZic4gHM5/M21YD5KPQ==" saltValue="izwRn2oK5Bxj+HaCc5lmb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CATALUÑA</v>
      </c>
    </row>
    <row r="3" spans="1:11" ht="18.75" customHeight="1">
      <c r="A3" s="484" t="s">
        <v>162</v>
      </c>
      <c r="B3" s="439" t="str">
        <f>Criterios!A10 &amp;"  "&amp;Criterios!B10</f>
        <v>Provincias  TARRAGONA</v>
      </c>
    </row>
    <row r="4" spans="1:11" ht="10.5" customHeight="1" thickBot="1">
      <c r="B4" s="439" t="str">
        <f>Criterios!A11 &amp;"  "&amp;Criterios!B11</f>
        <v>Resumenes por Partidos Judiciales  VALLS</v>
      </c>
    </row>
    <row r="5" spans="1:11" ht="12.75" customHeight="1">
      <c r="A5" s="1591" t="str">
        <f>"Año:  " &amp;Criterios!B5 &amp; "    Trimestre   " &amp;Criterios!D5 &amp; " al " &amp;Criterios!D6</f>
        <v>Año:  2022    Trimestre   2 al 2</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0.44444444444444442</v>
      </c>
      <c r="C10" s="515">
        <f>IF(ISNUMBER((Datos!J10-Datos!T10)/Datos!T10),(Datos!J10-Datos!T10)/Datos!T10," - ")</f>
        <v>1</v>
      </c>
      <c r="D10" s="515">
        <f>IF(ISNUMBER((Datos!K10-Datos!U10)/Datos!U10),(Datos!K10-Datos!U10)/Datos!U10," - ")</f>
        <v>1.25</v>
      </c>
      <c r="E10" s="515">
        <f>IF(ISNUMBER((Datos!L10-Datos!V10)/Datos!V10),(Datos!L10-Datos!V10)/Datos!V10," - ")</f>
        <v>0.41666666666666669</v>
      </c>
      <c r="F10" s="515">
        <f>IF(ISNUMBER((Datos!M10-Datos!W10)/Datos!W10),(Datos!M10-Datos!W10)/Datos!W10," - ")</f>
        <v>0.5</v>
      </c>
      <c r="G10" s="516">
        <f>IF(ISNUMBER((Datos!N10-Datos!X10)/Datos!X10),(Datos!N10-Datos!X10)/Datos!X10," - ")</f>
        <v>-0.33333333333333331</v>
      </c>
      <c r="H10" s="514">
        <f>IF(ISNUMBER(((NºAsuntos!G10/NºAsuntos!E10)-Datos!BD10)/Datos!BD10),((NºAsuntos!G10/NºAsuntos!E10)-Datos!BD10)/Datos!BD10," - ")</f>
        <v>0.125</v>
      </c>
      <c r="I10" s="515">
        <f>IF(ISNUMBER(((NºAsuntos!I10/NºAsuntos!G10)-Datos!BE10)/Datos!BE10),((NºAsuntos!I10/NºAsuntos!G10)-Datos!BE10)/Datos!BE10," - ")</f>
        <v>-0.37037037037037035</v>
      </c>
      <c r="J10" s="521">
        <f>IF(ISNUMBER((('Resol  Asuntos'!D10/NºAsuntos!G10)-Datos!BF10)/Datos!BF10),(('Resol  Asuntos'!D10/NºAsuntos!G10)-Datos!BF10)/Datos!BF10," - ")</f>
        <v>-0.33333333333333337</v>
      </c>
      <c r="K10" s="522">
        <f>IF(ISNUMBER((((NºAsuntos!C10+NºAsuntos!E10)/NºAsuntos!G10)-Datos!BG10)/Datos!BG10),(((NºAsuntos!C10+NºAsuntos!E10)/NºAsuntos!G10)-Datos!BG10)/Datos!BG10," - ")</f>
        <v>-0.33333333333333331</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6.9154774972557634E-2</v>
      </c>
      <c r="C12" s="515">
        <f>IF(ISNUMBER(
   IF(J_V="SI",(Datos!J12-Datos!T12)/Datos!T12,(Datos!J12+Datos!Z12-(Datos!T12+Datos!AH12))/(Datos!T12+Datos!AH12))
     ),IF(J_V="SI",(Datos!J12-Datos!T12)/Datos!T12,(Datos!J12+Datos!Z12-(Datos!T12+Datos!AH12))/(Datos!T12+Datos!AH12))," - ")</f>
        <v>0.31674958540630183</v>
      </c>
      <c r="D12" s="515">
        <f>IF(ISNUMBER(
   IF(J_V="SI",(Datos!K12-Datos!U12)/Datos!U12,(Datos!K12+Datos!AA12-(Datos!U12+Datos!AI12))/(Datos!U12+Datos!AI12))
     ),IF(J_V="SI",(Datos!K12-Datos!U12)/Datos!U12,(Datos!K12+Datos!AA12-(Datos!U12+Datos!AI12))/(Datos!U12+Datos!AI12))," - ")</f>
        <v>-9.957924263674614E-2</v>
      </c>
      <c r="E12" s="515">
        <f>IF(ISNUMBER(
   IF(J_V="SI",(Datos!L12-Datos!V12)/Datos!V12,(Datos!L12+Datos!AB12-(Datos!V12+Datos!AJ12))/(Datos!V12+Datos!AJ12))
     ),IF(J_V="SI",(Datos!L12-Datos!V12)/Datos!V12,(Datos!L12+Datos!AB12-(Datos!V12+Datos!AJ12))/(Datos!V12+Datos!AJ12))," - ")</f>
        <v>0.22663551401869159</v>
      </c>
      <c r="F12" s="515">
        <f>IF(ISNUMBER((Datos!M12-Datos!W12)/Datos!W12),(Datos!M12-Datos!W12)/Datos!W12," - ")</f>
        <v>-2.2727272727272728E-2</v>
      </c>
      <c r="G12" s="516">
        <f>IF(ISNUMBER((Datos!N12-Datos!X12)/Datos!X12),(Datos!N12-Datos!X12)/Datos!X12," - ")</f>
        <v>-0.1437908496732026</v>
      </c>
      <c r="H12" s="514">
        <f>IF(ISNUMBER(((NºAsuntos!G12/NºAsuntos!E12)-Datos!BD12)/Datos!BD12),((NºAsuntos!G12/NºAsuntos!E12)-Datos!BD12)/Datos!BD12," - ")</f>
        <v>-0.31617919812337275</v>
      </c>
      <c r="I12" s="515">
        <f>IF(ISNUMBER(((NºAsuntos!I12/NºAsuntos!G12)-Datos!BE12)/Datos!BE12),((NºAsuntos!I12/NºAsuntos!G12)-Datos!BE12)/Datos!BE12," - ")</f>
        <v>0.36229146650362487</v>
      </c>
      <c r="J12" s="521">
        <f>IF(ISNUMBER((('Resol  Asuntos'!D12/NºAsuntos!G12)-Datos!BF12)/Datos!BF12),(('Resol  Asuntos'!D12/NºAsuntos!G12)-Datos!BF12)/Datos!BF12," - ")</f>
        <v>-0.37574572923665839</v>
      </c>
      <c r="K12" s="522">
        <f>IF(ISNUMBER((((NºAsuntos!C12+NºAsuntos!E12)/NºAsuntos!G12)-Datos!BG12)/Datos!BG12),(((NºAsuntos!C12+NºAsuntos!E12)/NºAsuntos!G12)-Datos!BG12)/Datos!BG12," - ")</f>
        <v>0.25577030542441476</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7.6426264800861135E-2</v>
      </c>
      <c r="C14" s="1152">
        <f>IF(ISNUMBER(
   IF(J_V="SI",(Datos!J14-Datos!T14)/Datos!T14,(Datos!J14+Datos!Z14-(Datos!T14+Datos!AH14))/(Datos!T14+Datos!AH14))
     ),IF(J_V="SI",(Datos!J14-Datos!T14)/Datos!T14,(Datos!J14+Datos!Z14-(Datos!T14+Datos!AH14))/(Datos!T14+Datos!AH14))," - ")</f>
        <v>0.32125205930807249</v>
      </c>
      <c r="D14" s="1152">
        <f>IF(ISNUMBER(
   IF(J_V="SI",(Datos!K14-Datos!U14)/Datos!U14,(Datos!K14+Datos!AA14-(Datos!U14+Datos!AI14))/(Datos!U14+Datos!AI14))
     ),IF(J_V="SI",(Datos!K14-Datos!U14)/Datos!U14,(Datos!K14+Datos!AA14-(Datos!U14+Datos!AI14))/(Datos!U14+Datos!AI14))," - ")</f>
        <v>-9.2050209205020925E-2</v>
      </c>
      <c r="E14" s="1152">
        <f>IF(ISNUMBER(
   IF(J_V="SI",(Datos!L14-Datos!V14)/Datos!V14,(Datos!L14+Datos!AB14-(Datos!V14+Datos!AJ14))/(Datos!V14+Datos!AJ14))
     ),IF(J_V="SI",(Datos!L14-Datos!V14)/Datos!V14,(Datos!L14+Datos!AB14-(Datos!V14+Datos!AJ14))/(Datos!V14+Datos!AJ14))," - ")</f>
        <v>0.2305491990846682</v>
      </c>
      <c r="F14" s="1153">
        <f>IF(ISNUMBER((Datos!M14-Datos!W14)/Datos!W14),(Datos!M14-Datos!W14)/Datos!W14," - ")</f>
        <v>-1.6853932584269662E-2</v>
      </c>
      <c r="G14" s="1154">
        <f>IF(ISNUMBER((Datos!N14-Datos!X14)/Datos!X14),(Datos!N14-Datos!X14)/Datos!X14," - ")</f>
        <v>-0.14563106796116504</v>
      </c>
      <c r="H14" s="1154">
        <f>IF(ISNUMBER(((NºAsuntos!G14/NºAsuntos!E14)-Datos!BD14)/Datos!BD14),((NºAsuntos!G14/NºAsuntos!E14)-Datos!BD14)/Datos!BD14," - ")</f>
        <v>-0.31281106856290236</v>
      </c>
      <c r="I14" s="1154">
        <f>IF(ISNUMBER(((NºAsuntos!I14/NºAsuntos!G14)-Datos!BE14)/Datos!BE14),((NºAsuntos!I14/NºAsuntos!G14)-Datos!BE14)/Datos!BE14," - ")</f>
        <v>0.35530533908403544</v>
      </c>
      <c r="J14" s="1154">
        <f>IF(ISNUMBER((('Resol  Asuntos'!D14/NºAsuntos!G14)-Datos!BF14)/Datos!BF14),(('Resol  Asuntos'!D14/NºAsuntos!G14)-Datos!BF14)/Datos!BF14," - ")</f>
        <v>-0.37421449518223715</v>
      </c>
      <c r="K14" s="1154">
        <f>IF(ISNUMBER((((NºAsuntos!C14+NºAsuntos!E14)/NºAsuntos!G14)-Datos!BG14)/Datos!BG14),(((NºAsuntos!C14+NºAsuntos!E14)/NºAsuntos!G14)-Datos!BG14)/Datos!BG14," - ")</f>
        <v>0.25195688954113354</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1.6920473773265651E-2</v>
      </c>
      <c r="C17" s="515">
        <f>IF(ISNUMBER(
   IF(D_I="SI",(Datos!J17-Datos!T17)/Datos!T17,(Datos!J17+Datos!AD17-(Datos!T17+Datos!AL17))/(Datos!T17+Datos!AL17))
     ),IF(D_I="SI",(Datos!J17-Datos!T17)/Datos!T17,(Datos!J17+Datos!AD17-(Datos!T17+Datos!AL17))/(Datos!T17+Datos!AL17))," - ")</f>
        <v>0.31906614785992216</v>
      </c>
      <c r="D17" s="515">
        <f>IF(ISNUMBER(
   IF(D_I="SI",(Datos!K17-Datos!U17)/Datos!U17,(Datos!K17+Datos!AE17-(Datos!U17+Datos!AM17))/(Datos!U17+Datos!AM17))
     ),IF(D_I="SI",(Datos!K17-Datos!U17)/Datos!U17,(Datos!K17+Datos!AE17-(Datos!U17+Datos!AM17))/(Datos!U17+Datos!AM17))," - ")</f>
        <v>0.49354375896700142</v>
      </c>
      <c r="E17" s="515">
        <f>IF(ISNUMBER(
   IF(D_I="SI",(Datos!L17-Datos!V17)/Datos!V17,(Datos!L17+Datos!AF17-(Datos!V17+Datos!AN17))/(Datos!V17+Datos!AN17))
     ),IF(D_I="SI",(Datos!L17-Datos!V17)/Datos!V17,(Datos!L17+Datos!AF17-(Datos!V17+Datos!AN17))/(Datos!V17+Datos!AN17))," - ")</f>
        <v>-6.2101910828025478E-2</v>
      </c>
      <c r="F17" s="515">
        <f>IF(ISNUMBER((Datos!M17-Datos!W17)/Datos!W17),(Datos!M17-Datos!W17)/Datos!W17," - ")</f>
        <v>-9.3023255813953487E-2</v>
      </c>
      <c r="G17" s="516">
        <f>IF(ISNUMBER((Datos!N17-Datos!X17)/Datos!X17),(Datos!N17-Datos!X17)/Datos!X17," - ")</f>
        <v>0.80444444444444441</v>
      </c>
      <c r="H17" s="514">
        <f>IF(ISNUMBER(((NºAsuntos!G17/NºAsuntos!E17)-Datos!BD17)/Datos!BD17),((NºAsuntos!G17/NºAsuntos!E17)-Datos!BD17)/Datos!BD17," - ")</f>
        <v>0.13227358718147317</v>
      </c>
      <c r="I17" s="515">
        <f>IF(ISNUMBER(((NºAsuntos!I17/NºAsuntos!G17)-Datos!BE17)/Datos!BE17),((NºAsuntos!I17/NºAsuntos!G17)-Datos!BE17)/Datos!BE17," - ")</f>
        <v>-0.37203173088101227</v>
      </c>
      <c r="J17" s="521">
        <f>IF(ISNUMBER((('Resol  Asuntos'!D17/NºAsuntos!G17)-Datos!BF17)/Datos!BF17),(('Resol  Asuntos'!D17/NºAsuntos!G17)-Datos!BF17)/Datos!BF17," - ")</f>
        <v>-0.39273507137591318</v>
      </c>
      <c r="K17" s="522">
        <f>IF(ISNUMBER((((NºAsuntos!C17+NºAsuntos!E17)/NºAsuntos!G17)-Datos!BG17)/Datos!BG17),(((NºAsuntos!C17+NºAsuntos!E17)/NºAsuntos!G17)-Datos!BG17)/Datos!BG17," - ")</f>
        <v>-0.23925850178522856</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0.79365079365079361</v>
      </c>
      <c r="C18" s="515">
        <f>IF(ISNUMBER(
   IF(D_I="SI",(Datos!J18-Datos!T18)/Datos!T18,(Datos!J18+Datos!AD18-(Datos!T18+Datos!AL18))/(Datos!T18+Datos!AL18))
     ),IF(D_I="SI",(Datos!J18-Datos!T18)/Datos!T18,(Datos!J18+Datos!AD18-(Datos!T18+Datos!AL18))/(Datos!T18+Datos!AL18))," - ")</f>
        <v>5.3571428571428568E-2</v>
      </c>
      <c r="D18" s="515">
        <f>IF(ISNUMBER(
   IF(D_I="SI",(Datos!K18-Datos!U18)/Datos!U18,(Datos!K18+Datos!AE18-(Datos!U18+Datos!AM18))/(Datos!U18+Datos!AM18))
     ),IF(D_I="SI",(Datos!K18-Datos!U18)/Datos!U18,(Datos!K18+Datos!AE18-(Datos!U18+Datos!AM18))/(Datos!U18+Datos!AM18))," - ")</f>
        <v>0.75</v>
      </c>
      <c r="E18" s="515">
        <f>IF(ISNUMBER(
   IF(D_I="SI",(Datos!L18-Datos!V18)/Datos!V18,(Datos!L18+Datos!AF18-(Datos!V18+Datos!AN18))/(Datos!V18+Datos!AN18))
     ),IF(D_I="SI",(Datos!L18-Datos!V18)/Datos!V18,(Datos!L18+Datos!AF18-(Datos!V18+Datos!AN18))/(Datos!V18+Datos!AN18))," - ")</f>
        <v>0.52054794520547942</v>
      </c>
      <c r="F18" s="515">
        <f>IF(ISNUMBER((Datos!M18-Datos!W18)/Datos!W18),(Datos!M18-Datos!W18)/Datos!W18," - ")</f>
        <v>0</v>
      </c>
      <c r="G18" s="516">
        <f>IF(ISNUMBER((Datos!N18-Datos!X18)/Datos!X18),(Datos!N18-Datos!X18)/Datos!X18," - ")</f>
        <v>0.59375</v>
      </c>
      <c r="H18" s="514">
        <f>IF(ISNUMBER(((NºAsuntos!G18/NºAsuntos!E18)-Datos!BD18)/Datos!BD18),((NºAsuntos!G18/NºAsuntos!E18)-Datos!BD18)/Datos!BD18," - ")</f>
        <v>0.66101694915254228</v>
      </c>
      <c r="I18" s="515">
        <f>IF(ISNUMBER(((NºAsuntos!I18/NºAsuntos!G18)-Datos!BE18)/Datos!BE18),((NºAsuntos!I18/NºAsuntos!G18)-Datos!BE18)/Datos!BE18," - ")</f>
        <v>-0.13111545988258314</v>
      </c>
      <c r="J18" s="521">
        <f>IF(ISNUMBER((('Resol  Asuntos'!D18/NºAsuntos!G18)-Datos!BF18)/Datos!BF18),(('Resol  Asuntos'!D18/NºAsuntos!G18)-Datos!BF18)/Datos!BF18," - ")</f>
        <v>-0.42857142857142855</v>
      </c>
      <c r="K18" s="522">
        <f>IF(ISNUMBER((((NºAsuntos!C18+NºAsuntos!E18)/NºAsuntos!G18)-Datos!BG18)/Datos!BG18),(((NºAsuntos!C18+NºAsuntos!E18)/NºAsuntos!G18)-Datos!BG18)/Datos!BG18," - ")</f>
        <v>-0.1051805337519623</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9.1743119266055051E-2</v>
      </c>
      <c r="C23" s="1152">
        <f>IF(ISNUMBER(
   IF(Criterios!B14="SI",(Datos!J23-Datos!T23)/Datos!T23,(Datos!J23+Datos!AD23-(Datos!T23+Datos!AL23))/(Datos!T23+Datos!AL23))
     ),IF(Criterios!B14="SI",(Datos!J23-Datos!T23)/Datos!T23,(Datos!J23+Datos!AD23-(Datos!T23+Datos!AL23))/(Datos!T23+Datos!AL23))," - ")</f>
        <v>0.3010882708585248</v>
      </c>
      <c r="D23" s="1152">
        <f>IF(ISNUMBER(
   IF(Criterios!B14="SI",(Datos!K23-Datos!U23)/Datos!U23,(Datos!K23+Datos!AE23-(Datos!U23+Datos!AM23))/(Datos!U23+Datos!AM23))
     ),IF(Criterios!B14="SI",(Datos!K23-Datos!U23)/Datos!U23,(Datos!K23+Datos!AE23-(Datos!U23+Datos!AM23))/(Datos!U23+Datos!AM23))," - ")</f>
        <v>0.50613915416098232</v>
      </c>
      <c r="E23" s="1152">
        <f>IF(ISNUMBER(
   IF(Criterios!B14="SI",(Datos!L23-Datos!V23)/Datos!V23,(Datos!L23+Datos!AF23-(Datos!V23+Datos!AN23))/(Datos!V23+Datos!AN23))
     ),IF(Criterios!B14="SI",(Datos!L23-Datos!V23)/Datos!V23,(Datos!L23+Datos!AF23-(Datos!V23+Datos!AN23))/(Datos!V23+Datos!AN23))," - ")</f>
        <v>-1.4265335235378032E-3</v>
      </c>
      <c r="F23" s="1153">
        <f>IF(ISNUMBER((Datos!M23-Datos!W23)/Datos!W23),(Datos!M23-Datos!W23)/Datos!W23," - ")</f>
        <v>-8.98876404494382E-2</v>
      </c>
      <c r="G23" s="1154">
        <f>IF(ISNUMBER((Datos!N23-Datos!X23)/Datos!X23),(Datos!N23-Datos!X23)/Datos!X23," - ")</f>
        <v>0.79045643153526968</v>
      </c>
      <c r="H23" s="1154">
        <f>IF(ISNUMBER(((NºAsuntos!G23/NºAsuntos!E23)-Datos!BD23)/Datos!BD23),((NºAsuntos!G23/NºAsuntos!E23)-Datos!BD23)/Datos!BD23," - ")</f>
        <v>0.15759951718506718</v>
      </c>
      <c r="I23" s="1154">
        <f>IF(ISNUMBER(((NºAsuntos!I23/NºAsuntos!G23)-Datos!BE23)/Datos!BE23),((NºAsuntos!I23/NºAsuntos!G23)-Datos!BE23)/Datos!BE23," - ")</f>
        <v>-0.33699787053691416</v>
      </c>
      <c r="J23" s="1154">
        <f>IF(ISNUMBER((('Resol  Asuntos'!D23/NºAsuntos!G23)-Datos!BF23)/Datos!BF23),(('Resol  Asuntos'!D23/NºAsuntos!G23)-Datos!BF23)/Datos!BF23," - ")</f>
        <v>-0.39573155837811425</v>
      </c>
      <c r="K23" s="1154">
        <f>IF(ISNUMBER((((NºAsuntos!C23+NºAsuntos!E23)/NºAsuntos!G23)-Datos!BG23)/Datos!BG23),(((NºAsuntos!C23+NºAsuntos!E23)/NºAsuntos!G23)-Datos!BG23)/Datos!BG23," - ")</f>
        <v>-0.22129789905983777</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8.2754264055590651E-2</v>
      </c>
      <c r="C31" s="1092">
        <f>IF(ISNUMBER(
   IF(J_V="SI",(Datos!J31-Datos!T31)/Datos!T31,(Datos!J31+Datos!Z31-(Datos!T31+Datos!AH31))/(Datos!T31+Datos!AH31))
     ),IF(J_V="SI",(Datos!J31-Datos!T31)/Datos!T31,(Datos!J31+Datos!Z31-(Datos!T31+Datos!AH31))/(Datos!T31+Datos!AH31))," - ")</f>
        <v>0.30962343096234307</v>
      </c>
      <c r="D31" s="1092">
        <f>IF(ISNUMBER(
   IF(J_V="SI",(Datos!K31-Datos!U31)/Datos!U31,(Datos!K31+Datos!AA31-(Datos!U31+Datos!AI31))/(Datos!U31+Datos!AI31))
     ),IF(J_V="SI",(Datos!K31-Datos!U31)/Datos!U31,(Datos!K31+Datos!AA31-(Datos!U31+Datos!AI31))/(Datos!U31+Datos!AI31))," - ")</f>
        <v>0.2103448275862069</v>
      </c>
      <c r="E31" s="1092">
        <f>IF(ISNUMBER(
   IF(J_V="SI",(Datos!L31-Datos!V31)/Datos!V31,(Datos!L31+Datos!AB31-(Datos!V31+Datos!AJ31))/(Datos!V31+Datos!AJ31))
     ),IF(J_V="SI",(Datos!L31-Datos!V31)/Datos!V31,(Datos!L31+Datos!AB31-(Datos!V31+Datos!AJ31))/(Datos!V31+Datos!AJ31))," - ")</f>
        <v>0.1273015873015873</v>
      </c>
      <c r="F31" s="1093">
        <f>IF(ISNUMBER((Datos!M31-Datos!W31)/Datos!W31),(Datos!M31-Datos!W31)/Datos!W31," - ")</f>
        <v>-4.1198501872659173E-2</v>
      </c>
      <c r="G31" s="1094">
        <f>IF(ISNUMBER((Datos!N31-Datos!X31)/Datos!X31),(Datos!N31-Datos!X31)/Datos!X31," - ")</f>
        <v>0.4247787610619469</v>
      </c>
      <c r="H31" s="1095">
        <f>IF(ISNUMBER((Tasas!B31-Datos!BD31)/Datos!BD31),(Tasas!B31-Datos!BD31)/Datos!BD31," - ")</f>
        <v>-7.5806984686570503E-2</v>
      </c>
      <c r="I31" s="1096">
        <f>IF(ISNUMBER((Tasas!C31-Datos!BE31)/Datos!BE31),(Tasas!C31-Datos!BE31)/Datos!BE31," - ")</f>
        <v>-6.8611224166779672E-2</v>
      </c>
      <c r="J31" s="1097">
        <f>IF(ISNUMBER((Tasas!D31-Datos!BF31)/Datos!BF31),(Tasas!D31-Datos!BF31)/Datos!BF31," - ")</f>
        <v>-0.46722929090687276</v>
      </c>
      <c r="K31" s="1097">
        <f>IF(ISNUMBER((Tasas!E31-Datos!BG31)/Datos!BG31),(Tasas!E31-Datos!BG31)/Datos!BG31," - ")</f>
        <v>-4.6983773070729561E-2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kzh/lIRIhRrVxzcfSheVctferqpdShdAFCf/oKDmZwZ0CSoQWcy+VC4lVNEr3kf4web0O8IaXiKPcQ7gkvx7A==" saltValue="k68X06bCHlb+PgJKefL00g=="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CATALUÑA</v>
      </c>
    </row>
    <row r="3" spans="1:7" ht="19.5">
      <c r="A3" s="491" t="s">
        <v>17</v>
      </c>
      <c r="B3" s="439" t="str">
        <f>Criterios!A10 &amp;"  "&amp;Criterios!B10</f>
        <v>Provincias  TARRAGONA</v>
      </c>
    </row>
    <row r="4" spans="1:7" ht="11.25" customHeight="1" thickBot="1">
      <c r="B4" s="439" t="str">
        <f>Criterios!A11 &amp;"  "&amp;Criterios!B11</f>
        <v>Resumenes por Partidos Judiciales  VALLS</v>
      </c>
    </row>
    <row r="5" spans="1:7" ht="12.75" customHeight="1">
      <c r="A5" s="1591" t="str">
        <f>"Año:  " &amp;Criterios!B5 &amp; "    Trimestre   " &amp;Criterios!D5 &amp; " al " &amp;Criterios!D6</f>
        <v>Año:  2022    Trimestre   2 al 2</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1.125</v>
      </c>
      <c r="C10" s="498">
        <f>IF(ISNUMBER(NºAsuntos!I10/NºAsuntos!G10),NºAsuntos!I10/NºAsuntos!G10," - ")</f>
        <v>5.666666666666667</v>
      </c>
      <c r="D10" s="499">
        <f>IF(ISNUMBER('Resol  Asuntos'!D10/NºAsuntos!G10),'Resol  Asuntos'!D10/NºAsuntos!G10," - ")</f>
        <v>0.33333333333333331</v>
      </c>
      <c r="E10" s="500">
        <f>IF(ISNUMBER((NºAsuntos!C10+NºAsuntos!E10)/NºAsuntos!G10),(NºAsuntos!C10+NºAsuntos!E10)/NºAsuntos!G10," - ")</f>
        <v>6.666666666666667</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0.80856423173803527</v>
      </c>
      <c r="C12" s="498">
        <f>IF(ISNUMBER(NºAsuntos!I12/NºAsuntos!G12),NºAsuntos!I12/NºAsuntos!G12," - ")</f>
        <v>3.2710280373831777</v>
      </c>
      <c r="D12" s="499">
        <f>IF(ISNUMBER('Resol  Asuntos'!D12/NºAsuntos!G12),'Resol  Asuntos'!D12/NºAsuntos!G12," - ")</f>
        <v>0.26791277258566976</v>
      </c>
      <c r="E12" s="500">
        <f>IF(ISNUMBER((NºAsuntos!C12+NºAsuntos!E12)/NºAsuntos!G12),(NºAsuntos!C12+NºAsuntos!E12)/NºAsuntos!G12," - ")</f>
        <v>4.2710280373831777</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0.8117206982543641</v>
      </c>
      <c r="C14" s="1156">
        <f>IF(ISNUMBER(NºAsuntos!I14/NºAsuntos!G14),NºAsuntos!I14/NºAsuntos!G14," - ")</f>
        <v>3.3041474654377878</v>
      </c>
      <c r="D14" s="1157">
        <f>IF(ISNUMBER('Resol  Asuntos'!D14/NºAsuntos!G14),'Resol  Asuntos'!D14/NºAsuntos!G14," - ")</f>
        <v>0.26881720430107525</v>
      </c>
      <c r="E14" s="1158">
        <f>IF(ISNUMBER((NºAsuntos!C14+NºAsuntos!E14)/NºAsuntos!G14),(NºAsuntos!C14+NºAsuntos!E14)/NºAsuntos!G14," - ")</f>
        <v>4.3041474654377883</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1.0235988200589972</v>
      </c>
      <c r="C17" s="498">
        <f>IF(ISNUMBER(NºAsuntos!I17/NºAsuntos!G17),NºAsuntos!I17/NºAsuntos!G17," - ")</f>
        <v>1.1316042267050912</v>
      </c>
      <c r="D17" s="499">
        <f>IF(ISNUMBER('Resol  Asuntos'!D17/NºAsuntos!G17),'Resol  Asuntos'!D17/NºAsuntos!G17," - ")</f>
        <v>7.492795389048991E-2</v>
      </c>
      <c r="E17" s="500">
        <f>IF(ISNUMBER((NºAsuntos!C17+NºAsuntos!E17)/NºAsuntos!G17),(NºAsuntos!C17+NºAsuntos!E17)/NºAsuntos!G17," - ")</f>
        <v>2.1316042267050914</v>
      </c>
      <c r="G17" s="523"/>
    </row>
    <row r="18" spans="1:7">
      <c r="A18" s="450" t="str">
        <f>Datos!A18</f>
        <v>Jdos. Violencia contra la mujer</v>
      </c>
      <c r="B18" s="497">
        <f>IF(ISNUMBER(NºAsuntos!G18/NºAsuntos!E18),NºAsuntos!G18/NºAsuntos!E18," - ")</f>
        <v>1.0677966101694916</v>
      </c>
      <c r="C18" s="498">
        <f>IF(ISNUMBER(NºAsuntos!I18/NºAsuntos!G18),NºAsuntos!I18/NºAsuntos!G18," - ")</f>
        <v>3.5238095238095237</v>
      </c>
      <c r="D18" s="499">
        <f>IF(ISNUMBER('Resol  Asuntos'!D18/NºAsuntos!G18),'Resol  Asuntos'!D18/NºAsuntos!G18," - ")</f>
        <v>4.7619047619047616E-2</v>
      </c>
      <c r="E18" s="500">
        <f>IF(ISNUMBER((NºAsuntos!C18+NºAsuntos!E18)/NºAsuntos!G18),(NºAsuntos!C18+NºAsuntos!E18)/NºAsuntos!G18," - ")</f>
        <v>4.5238095238095237</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1.0260223048327137</v>
      </c>
      <c r="C23" s="1156">
        <f>IF(ISNUMBER(NºAsuntos!I23/NºAsuntos!G23),NºAsuntos!I23/NºAsuntos!G23," - ")</f>
        <v>1.2681159420289856</v>
      </c>
      <c r="D23" s="1159">
        <f>IF(ISNUMBER('Resol  Asuntos'!D23/NºAsuntos!G23),'Resol  Asuntos'!D23/NºAsuntos!G23," - ")</f>
        <v>7.3369565217391311E-2</v>
      </c>
      <c r="E23" s="1158">
        <f>IF(ISNUMBER((NºAsuntos!C23+NºAsuntos!E23)/NºAsuntos!G23),(NºAsuntos!C23+NºAsuntos!E23)/NºAsuntos!G23," - ")</f>
        <v>2.2681159420289854</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0.93450479233226835</v>
      </c>
      <c r="C31" s="1099">
        <f>IF(ISNUMBER(NºAsuntos!I31/NºAsuntos!G31),NºAsuntos!I31/NºAsuntos!G31," - ")</f>
        <v>2.0233618233618236</v>
      </c>
      <c r="D31" s="1100">
        <f>IF(ISNUMBER('Resol  Asuntos'!D31/NºAsuntos!G31),'Resol  Asuntos'!D31/NºAsuntos!G31," - ")</f>
        <v>0.14586894586894586</v>
      </c>
      <c r="E31" s="1101">
        <f>IF(ISNUMBER((NºAsuntos!C31+NºAsuntos!E31)/NºAsuntos!G31),(NºAsuntos!C31+NºAsuntos!E31)/NºAsuntos!G31," - ")</f>
        <v>3.0233618233618236</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4KTJNsynJDBq+XYLlwO/unekJkedqaER3Q2FxZ98HpHLU/y6aU9juMvLwGUpdBGBM6uckLQy7aHXRWY75Elahw==" saltValue="vyqkSTRvtR3mJcLC6cDYbw=="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CATALUÑA</v>
      </c>
      <c r="G2" s="369"/>
      <c r="H2" s="368"/>
      <c r="I2" s="368"/>
      <c r="J2" s="368"/>
      <c r="K2" s="368"/>
      <c r="L2" s="368" t="str">
        <f>Criterios!A10 &amp;"  "&amp;Criterios!B10</f>
        <v>Provincias  TARRAGONA</v>
      </c>
      <c r="N2" s="368" t="str">
        <f>Criterios!A11 &amp;"  "&amp;Criterios!B11</f>
        <v>Resumenes por Partidos Judiciales  VALLS</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2 al 2</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52</v>
      </c>
      <c r="G10" s="373">
        <f>IF(ISNUMBER(Datos!I10),Datos!I10," - ")</f>
        <v>52</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2</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9</v>
      </c>
      <c r="X10" s="240">
        <f>IF(ISNUMBER(Datos!Q10),Datos!Q10," - ")</f>
        <v>4</v>
      </c>
      <c r="Y10" s="374">
        <f t="shared" ref="Y10:Y13" si="0">SUM(W10:X10)</f>
        <v>13</v>
      </c>
      <c r="Z10" s="375" t="str">
        <f>IF(ISNUMBER(Datos!CC10),Datos!CC10," - ")</f>
        <v xml:space="preserve"> - </v>
      </c>
      <c r="AA10" s="372">
        <f>IF(ISNUMBER(Datos!L10),Datos!L10,"-")</f>
        <v>51</v>
      </c>
      <c r="AB10" s="374">
        <f>IF(ISNUMBER(Datos!R10),Datos!R10," - ")</f>
        <v>25</v>
      </c>
      <c r="AC10" s="374">
        <f t="shared" ref="AC10:AC13" si="1">IF(ISNUMBER(AA10+AB10),AA10+AB10," - ")</f>
        <v>76</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3</v>
      </c>
      <c r="AJ10" s="245" t="str">
        <f>IF(ISNUMBER(Datos!BW10),Datos!BW10," - ")</f>
        <v xml:space="preserve"> - </v>
      </c>
      <c r="AK10" s="246" t="str">
        <f>IF(ISNUMBER(Datos!BX10),Datos!BX10," - ")</f>
        <v xml:space="preserve"> - </v>
      </c>
      <c r="AL10" s="266">
        <f>IF(ISNUMBER(NºAsuntos!G10/NºAsuntos!E10),NºAsuntos!G10/NºAsuntos!E10," - ")</f>
        <v>1.125</v>
      </c>
      <c r="AM10" s="284">
        <f>IF(ISNUMBER(((NºAsuntos!I10/NºAsuntos!G10)*11)/factor_trimestre),((NºAsuntos!I10/NºAsuntos!G10)*11)/factor_trimestre," - ")</f>
        <v>17</v>
      </c>
      <c r="AN10" s="267">
        <f>IF(ISNUMBER('Resol  Asuntos'!D10/NºAsuntos!G10),'Resol  Asuntos'!D10/NºAsuntos!G10," - ")</f>
        <v>0.33333333333333331</v>
      </c>
      <c r="AO10" s="268">
        <f>IF(ISNUMBER((NºAsuntos!C10+NºAsuntos!E10)/NºAsuntos!G10),(NºAsuntos!C10+NºAsuntos!E10)/NºAsuntos!G10," - ")</f>
        <v>6.666666666666667</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3</v>
      </c>
      <c r="B12" s="300" t="s">
        <v>321</v>
      </c>
      <c r="C12" s="7" t="str">
        <f>Datos!A12</f>
        <v xml:space="preserve">Jdos. 1ª Instª. e Instr.                        </v>
      </c>
      <c r="D12" s="7"/>
      <c r="E12" s="1402">
        <f>IF(ISNUMBER(Datos!AQ12),Datos!AQ12," - ")</f>
        <v>3</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154</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60</v>
      </c>
      <c r="Y12" s="374">
        <f t="shared" si="0"/>
        <v>60</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2572</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172</v>
      </c>
      <c r="AJ12" s="243" t="str">
        <f>IF(ISNUMBER(Datos!BW12),Datos!BW12," - ")</f>
        <v xml:space="preserve"> - </v>
      </c>
      <c r="AK12" s="242" t="str">
        <f>IF(ISNUMBER(Datos!BX12),Datos!BX12," - ")</f>
        <v xml:space="preserve"> - </v>
      </c>
      <c r="AL12" s="266">
        <f>IF(ISNUMBER(NºAsuntos!G12/NºAsuntos!E12),NºAsuntos!G12/NºAsuntos!E12," - ")</f>
        <v>0.80856423173803527</v>
      </c>
      <c r="AM12" s="284">
        <f>IF(ISNUMBER(((NºAsuntos!I12/NºAsuntos!G12)*11)/factor_trimestre),((NºAsuntos!I12/NºAsuntos!G12)*11)/factor_trimestre," - ")</f>
        <v>9.813084112149534</v>
      </c>
      <c r="AN12" s="267">
        <f>IF(ISNUMBER('Resol  Asuntos'!D12/NºAsuntos!G12),'Resol  Asuntos'!D12/NºAsuntos!G12," - ")</f>
        <v>0.26791277258566976</v>
      </c>
      <c r="AO12" s="268">
        <f>IF(ISNUMBER((NºAsuntos!C12+NºAsuntos!E12)/NºAsuntos!G12),(NºAsuntos!C12+NºAsuntos!E12)/NºAsuntos!G12," - ")</f>
        <v>4.2710280373831777</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3</v>
      </c>
      <c r="F14" s="1162">
        <f t="shared" si="5"/>
        <v>52</v>
      </c>
      <c r="G14" s="1163">
        <f t="shared" si="5"/>
        <v>52</v>
      </c>
      <c r="H14" s="1162">
        <f t="shared" si="5"/>
        <v>0</v>
      </c>
      <c r="I14" s="1164">
        <f t="shared" si="5"/>
        <v>0</v>
      </c>
      <c r="J14" s="1164">
        <f t="shared" si="5"/>
        <v>0</v>
      </c>
      <c r="K14" s="1164">
        <f t="shared" si="5"/>
        <v>0</v>
      </c>
      <c r="L14" s="1164">
        <f t="shared" si="5"/>
        <v>156</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9</v>
      </c>
      <c r="X14" s="1164">
        <f t="shared" si="6"/>
        <v>64</v>
      </c>
      <c r="Y14" s="1165">
        <f t="shared" si="6"/>
        <v>73</v>
      </c>
      <c r="Z14" s="1165">
        <f t="shared" si="6"/>
        <v>0</v>
      </c>
      <c r="AA14" s="1165">
        <f t="shared" si="6"/>
        <v>51</v>
      </c>
      <c r="AB14" s="1165">
        <f t="shared" si="6"/>
        <v>2597</v>
      </c>
      <c r="AC14" s="1165">
        <f t="shared" si="6"/>
        <v>76</v>
      </c>
      <c r="AD14" s="1165">
        <f t="shared" si="6"/>
        <v>0</v>
      </c>
      <c r="AE14" s="1169">
        <f t="shared" si="6"/>
        <v>0</v>
      </c>
      <c r="AF14" s="1162">
        <f t="shared" si="6"/>
        <v>0</v>
      </c>
      <c r="AG14" s="1170">
        <f t="shared" si="6"/>
        <v>0</v>
      </c>
      <c r="AH14" s="1167">
        <f t="shared" si="6"/>
        <v>0</v>
      </c>
      <c r="AI14" s="1162">
        <f t="shared" si="6"/>
        <v>175</v>
      </c>
      <c r="AJ14" s="1164">
        <f t="shared" si="6"/>
        <v>0</v>
      </c>
      <c r="AK14" s="1167">
        <f>SUBTOTAL(9,AK9:AK13)</f>
        <v>0</v>
      </c>
      <c r="AL14" s="1171">
        <f>IF(ISNUMBER(NºAsuntos!G14/NºAsuntos!E14),NºAsuntos!G14/NºAsuntos!E14," - ")</f>
        <v>0.8117206982543641</v>
      </c>
      <c r="AM14" s="1171">
        <f>IF(ISNUMBER(((NºAsuntos!I14/NºAsuntos!G14)*11)/factor_trimestre),((NºAsuntos!I14/NºAsuntos!G14)*11)/factor_trimestre," - ")</f>
        <v>9.912442396313363</v>
      </c>
      <c r="AN14" s="1172">
        <f>IF(ISNUMBER('Resol  Asuntos'!D14/NºAsuntos!G14),'Resol  Asuntos'!D14/NºAsuntos!G14," - ")</f>
        <v>0.26881720430107525</v>
      </c>
      <c r="AO14" s="1173">
        <f>IF(ISNUMBER((NºAsuntos!C14+NºAsuntos!E14)/NºAsuntos!G14),(NºAsuntos!C14+NºAsuntos!E14)/NºAsuntos!G14," - ")</f>
        <v>4.3041474654377883</v>
      </c>
      <c r="AP14" s="1174" t="str">
        <f t="shared" si="2"/>
        <v xml:space="preserve"> - </v>
      </c>
      <c r="AQ14" s="1174">
        <f>IF(ISNUMBER((H14-W14+K14)/(F14)),(H14-W14+K14)/(F14)," - ")</f>
        <v>-0.17307692307692307</v>
      </c>
      <c r="AR14" s="1175">
        <f>IF(ISNUMBER((Datos!P14-Datos!Q14)/(Datos!R14-Datos!P14+Datos!Q14)),(Datos!P14-Datos!Q14)/(Datos!R14-Datos!P14+Datos!Q14)," - ")</f>
        <v>3.6726546906187624E-2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3</v>
      </c>
      <c r="B17" s="300" t="s">
        <v>511</v>
      </c>
      <c r="C17" s="173" t="str">
        <f>Datos!A17</f>
        <v xml:space="preserve">Jdos. 1ª Instª. e Instr.                        </v>
      </c>
      <c r="D17" s="173"/>
      <c r="E17" s="1402">
        <f>IF(ISNUMBER(Datos!AQ17),Datos!AQ17," - ")</f>
        <v>3</v>
      </c>
      <c r="F17" s="239">
        <f>IF(ISNUMBER(AA17+W17-Datos!J17-K17),AA17+W17-Datos!J17-K17," - ")</f>
        <v>1202</v>
      </c>
      <c r="G17" s="373">
        <f>IF(ISNUMBER(IF(D_I="SI",Datos!I17,Datos!I17+Datos!AC17)),IF(D_I="SI",Datos!I17,Datos!I17+Datos!AC17)," - ")</f>
        <v>1202</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11</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1041</v>
      </c>
      <c r="X17" s="240">
        <f>IF(ISNUMBER(Datos!Q17),Datos!Q17," - ")</f>
        <v>11</v>
      </c>
      <c r="Y17" s="374">
        <f t="shared" ref="Y17:Y22" si="9">SUM(W17:X17)</f>
        <v>1052</v>
      </c>
      <c r="Z17" s="375" t="str">
        <f>IF(ISNUMBER(Datos!CC17),Datos!CC17," - ")</f>
        <v xml:space="preserve"> - </v>
      </c>
      <c r="AA17" s="372">
        <f>IF(ISNUMBER(IF(D_I="SI",Datos!L17,Datos!L17+Datos!AF17)),IF(D_I="SI",Datos!L17,Datos!L17+Datos!AF17)," - ")</f>
        <v>1178</v>
      </c>
      <c r="AB17" s="374">
        <f>IF(ISNUMBER(Datos!R17),Datos!R17," - ")</f>
        <v>110</v>
      </c>
      <c r="AC17" s="374">
        <f t="shared" si="8"/>
        <v>1288</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78</v>
      </c>
      <c r="AJ17" s="245" t="str">
        <f>IF(ISNUMBER(Datos!BW17),Datos!BW17," - ")</f>
        <v xml:space="preserve"> - </v>
      </c>
      <c r="AK17" s="246" t="str">
        <f>IF(ISNUMBER(Datos!BX17),Datos!BX17," - ")</f>
        <v xml:space="preserve"> - </v>
      </c>
      <c r="AL17" s="266">
        <f>IF(ISNUMBER(NºAsuntos!G17/NºAsuntos!E17),NºAsuntos!G17/NºAsuntos!E17," - ")</f>
        <v>1.0235988200589972</v>
      </c>
      <c r="AM17" s="284">
        <f>IF(ISNUMBER(((NºAsuntos!I17/NºAsuntos!G17)*11)/factor_trimestre),((NºAsuntos!I17/NºAsuntos!G17)*11)/factor_trimestre," - ")</f>
        <v>3.3948126801152738</v>
      </c>
      <c r="AN17" s="267">
        <f>IF(ISNUMBER('Resol  Asuntos'!D17/NºAsuntos!G17),'Resol  Asuntos'!D17/NºAsuntos!G17," - ")</f>
        <v>7.492795389048991E-2</v>
      </c>
      <c r="AO17" s="268">
        <f>IF(ISNUMBER((NºAsuntos!C17+NºAsuntos!E17)/NºAsuntos!G17),(NºAsuntos!C17+NºAsuntos!E17)/NºAsuntos!G17," - ")</f>
        <v>2.1316042267050914</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226</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1</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63</v>
      </c>
      <c r="X18" s="240">
        <f>IF(ISNUMBER(Datos!Q18),Datos!Q18," - ")</f>
        <v>1</v>
      </c>
      <c r="Y18" s="374">
        <f t="shared" si="9"/>
        <v>64</v>
      </c>
      <c r="Z18" s="375" t="str">
        <f>IF(ISNUMBER(Datos!CC18),Datos!CC18," - ")</f>
        <v xml:space="preserve"> - </v>
      </c>
      <c r="AA18" s="372">
        <f>IF(ISNUMBER(Datos!L18),Datos!L18,"-")</f>
        <v>222</v>
      </c>
      <c r="AB18" s="374">
        <f>IF(ISNUMBER(Datos!R18),Datos!R18," - ")</f>
        <v>0</v>
      </c>
      <c r="AC18" s="374">
        <f t="shared" si="8"/>
        <v>222</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3</v>
      </c>
      <c r="AJ18" s="245" t="str">
        <f>IF(ISNUMBER(Datos!BW18),Datos!BW18," - ")</f>
        <v xml:space="preserve"> - </v>
      </c>
      <c r="AK18" s="246" t="str">
        <f>IF(ISNUMBER(Datos!BX18),Datos!BX18," - ")</f>
        <v xml:space="preserve"> - </v>
      </c>
      <c r="AL18" s="266">
        <f>IF(ISNUMBER(NºAsuntos!G18/NºAsuntos!E18),NºAsuntos!G18/NºAsuntos!E18," - ")</f>
        <v>1.0677966101694916</v>
      </c>
      <c r="AM18" s="284">
        <f>IF(ISNUMBER(((NºAsuntos!I18/NºAsuntos!G18)*11)/factor_trimestre),((NºAsuntos!I18/NºAsuntos!G18)*11)/factor_trimestre," - ")</f>
        <v>10.571428571428571</v>
      </c>
      <c r="AN18" s="267">
        <f>IF(ISNUMBER('Resol  Asuntos'!D18/NºAsuntos!G18),'Resol  Asuntos'!D18/NºAsuntos!G18," - ")</f>
        <v>4.7619047619047616E-2</v>
      </c>
      <c r="AO18" s="268">
        <f>IF(ISNUMBER((NºAsuntos!C18+NºAsuntos!E18)/NºAsuntos!G18),(NºAsuntos!C18+NºAsuntos!E18)/NºAsuntos!G18," - ")</f>
        <v>4.5238095238095237</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3</v>
      </c>
      <c r="F23" s="1162">
        <f>SUBTOTAL(9,F15:F22)</f>
        <v>1202</v>
      </c>
      <c r="G23" s="1163">
        <f>SUBTOTAL(9,G16:G22)</f>
        <v>1428</v>
      </c>
      <c r="H23" s="1162">
        <f t="shared" ref="H23:O23" si="13">SUBTOTAL(9,H15:H22)</f>
        <v>0</v>
      </c>
      <c r="I23" s="1164">
        <f t="shared" si="13"/>
        <v>0</v>
      </c>
      <c r="J23" s="1164">
        <f t="shared" si="13"/>
        <v>0</v>
      </c>
      <c r="K23" s="1164">
        <f t="shared" si="13"/>
        <v>0</v>
      </c>
      <c r="L23" s="1164">
        <f t="shared" si="13"/>
        <v>12</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1104</v>
      </c>
      <c r="X23" s="1164">
        <f t="shared" si="14"/>
        <v>12</v>
      </c>
      <c r="Y23" s="1165">
        <f t="shared" si="14"/>
        <v>1116</v>
      </c>
      <c r="Z23" s="1165">
        <f t="shared" si="14"/>
        <v>0</v>
      </c>
      <c r="AA23" s="1165">
        <f t="shared" si="14"/>
        <v>1400</v>
      </c>
      <c r="AB23" s="1165">
        <f t="shared" si="14"/>
        <v>110</v>
      </c>
      <c r="AC23" s="1165">
        <f t="shared" si="14"/>
        <v>1510</v>
      </c>
      <c r="AD23" s="1165">
        <f t="shared" si="14"/>
        <v>0</v>
      </c>
      <c r="AE23" s="1169">
        <f t="shared" si="14"/>
        <v>0</v>
      </c>
      <c r="AF23" s="1162">
        <f t="shared" si="14"/>
        <v>0</v>
      </c>
      <c r="AG23" s="1170">
        <f t="shared" si="14"/>
        <v>0</v>
      </c>
      <c r="AH23" s="1167">
        <f t="shared" si="14"/>
        <v>0</v>
      </c>
      <c r="AI23" s="1162">
        <f t="shared" si="14"/>
        <v>81</v>
      </c>
      <c r="AJ23" s="1164">
        <f t="shared" si="14"/>
        <v>0</v>
      </c>
      <c r="AK23" s="1167">
        <f t="shared" si="14"/>
        <v>0</v>
      </c>
      <c r="AL23" s="1171">
        <f>IF(ISNUMBER(NºAsuntos!G23/NºAsuntos!E23),NºAsuntos!G23/NºAsuntos!E23," - ")</f>
        <v>1.0260223048327137</v>
      </c>
      <c r="AM23" s="1171">
        <f>IF(ISNUMBER(((NºAsuntos!I23/NºAsuntos!G23)*11)/factor_trimestre),((NºAsuntos!I23/NºAsuntos!G23)*11)/factor_trimestre," - ")</f>
        <v>3.804347826086957</v>
      </c>
      <c r="AN23" s="1172">
        <f>IF(ISNUMBER('Resol  Asuntos'!D23/NºAsuntos!G23),'Resol  Asuntos'!D23/NºAsuntos!G23," - ")</f>
        <v>7.3369565217391311E-2</v>
      </c>
      <c r="AO23" s="1173">
        <f>IF(ISNUMBER((NºAsuntos!C23+NºAsuntos!E23)/NºAsuntos!G23),(NºAsuntos!C23+NºAsuntos!E23)/NºAsuntos!G23," - ")</f>
        <v>2.2681159420289854</v>
      </c>
      <c r="AP23" s="1174" t="str">
        <f t="shared" si="2"/>
        <v xml:space="preserve"> - </v>
      </c>
      <c r="AQ23" s="1174">
        <f>IF(ISNUMBER((H23-W23+K23)/(F23)),(H23-W23+K23)/(F23)," - ")</f>
        <v>-0.91846921797004988</v>
      </c>
      <c r="AR23" s="1175">
        <f>IF(ISNUMBER((Datos!P23-Datos!Q23)/(Datos!R23-Datos!P23+Datos!Q23)),(Datos!P23-Datos!Q23)/(Datos!R23-Datos!P23+Datos!Q23)," - ")</f>
        <v>0</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6</v>
      </c>
      <c r="F31" s="1117">
        <f t="shared" si="20"/>
        <v>1254</v>
      </c>
      <c r="G31" s="1118">
        <f t="shared" si="20"/>
        <v>1480</v>
      </c>
      <c r="H31" s="1117">
        <f t="shared" si="20"/>
        <v>0</v>
      </c>
      <c r="I31" s="1119">
        <f t="shared" si="20"/>
        <v>0</v>
      </c>
      <c r="J31" s="1119">
        <f t="shared" si="20"/>
        <v>0</v>
      </c>
      <c r="K31" s="1180">
        <f t="shared" si="20"/>
        <v>0</v>
      </c>
      <c r="L31" s="1119">
        <f t="shared" si="20"/>
        <v>168</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1113</v>
      </c>
      <c r="X31" s="1118">
        <f t="shared" si="21"/>
        <v>76</v>
      </c>
      <c r="Y31" s="1125">
        <f t="shared" si="21"/>
        <v>1189</v>
      </c>
      <c r="Z31" s="1125">
        <f t="shared" si="21"/>
        <v>0</v>
      </c>
      <c r="AA31" s="1125">
        <f t="shared" si="21"/>
        <v>1451</v>
      </c>
      <c r="AB31" s="1125">
        <f t="shared" si="21"/>
        <v>2707</v>
      </c>
      <c r="AC31" s="1125">
        <f t="shared" si="21"/>
        <v>1586</v>
      </c>
      <c r="AD31" s="1125">
        <f t="shared" si="21"/>
        <v>0</v>
      </c>
      <c r="AE31" s="1127">
        <f t="shared" si="21"/>
        <v>0</v>
      </c>
      <c r="AF31" s="1128">
        <f t="shared" si="21"/>
        <v>0</v>
      </c>
      <c r="AG31" s="1129">
        <f t="shared" si="21"/>
        <v>0</v>
      </c>
      <c r="AH31" s="1127">
        <f t="shared" si="21"/>
        <v>0</v>
      </c>
      <c r="AI31" s="1117">
        <f t="shared" si="21"/>
        <v>256</v>
      </c>
      <c r="AJ31" s="1117">
        <f t="shared" si="21"/>
        <v>0</v>
      </c>
      <c r="AK31" s="1127">
        <f t="shared" si="21"/>
        <v>0</v>
      </c>
      <c r="AL31" s="1183">
        <f>IF(ISNUMBER(NºAsuntos!G31/NºAsuntos!E31),NºAsuntos!G31/NºAsuntos!E31," - ")</f>
        <v>0.93450479233226835</v>
      </c>
      <c r="AM31" s="1184">
        <f>IF(ISNUMBER(((NºAsuntos!I31/NºAsuntos!G31)*11)/factor_trimestre),((NºAsuntos!I31/NºAsuntos!G31)*11)/factor_trimestre," - ")</f>
        <v>6.0700854700854707</v>
      </c>
      <c r="AN31" s="1184">
        <f>IF(ISNUMBER('Resol  Asuntos'!D31/NºAsuntos!G31),'Resol  Asuntos'!D31/NºAsuntos!G31," - ")</f>
        <v>0.14586894586894586</v>
      </c>
      <c r="AO31" s="1185">
        <f>IF(ISNUMBER((NºAsuntos!C31+NºAsuntos!E31)/NºAsuntos!G31),(NºAsuntos!C31+NºAsuntos!E31)/NºAsuntos!G31," - ")</f>
        <v>3.0233618233618236</v>
      </c>
      <c r="AP31" s="1186" t="str">
        <f t="shared" si="2"/>
        <v xml:space="preserve"> - </v>
      </c>
      <c r="AQ31" s="1187">
        <f>IF(OR(ISNUMBER(FIND("01",Criterios!A8,1)),ISNUMBER(FIND("02",Criterios!A8,1)),ISNUMBER(FIND("03",Criterios!A8,1)),ISNUMBER(FIND("04",Criterios!A8,1))),(I31-W31+K31)/(F31-K31),(H31-W31+K31)/(F31-K31))</f>
        <v>-0.88755980861244022</v>
      </c>
      <c r="AR31" s="1188">
        <f>IF(ISNUMBER((Datos!P31-Datos!Q31)/(Datos!R31-Datos!P31+Datos!Q31)),(Datos!P31-Datos!Q31)/(Datos!R31-Datos!P31+Datos!Q31)," - ")</f>
        <v>3.518164435946463E-2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422.85714285714283</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1.2565617248750864</v>
      </c>
      <c r="F33" s="276">
        <f>IF(ISNUMBER(STDEV(F8:F30)),STDEV(F8:F30),"-")</f>
        <v>607.72888692244999</v>
      </c>
      <c r="G33" s="277">
        <f>IF(ISNUMBER(STDEV(G8:G30)),STDEV(G8:G30),"-")</f>
        <v>617.63188296682267</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516.19763656956047</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75.691101571736013</v>
      </c>
      <c r="AJ33" s="276">
        <f t="shared" si="25"/>
        <v>0</v>
      </c>
      <c r="AK33" s="278">
        <f t="shared" si="25"/>
        <v>0</v>
      </c>
      <c r="AL33" s="273">
        <f t="shared" si="25"/>
        <v>0.13446965021602447</v>
      </c>
      <c r="AM33" s="274">
        <f t="shared" si="25"/>
        <v>5.0266280801204806</v>
      </c>
      <c r="AN33" s="274">
        <f t="shared" si="25"/>
        <v>0.12572223580718569</v>
      </c>
      <c r="AO33" s="275">
        <f t="shared" si="25"/>
        <v>1.6755426933734914</v>
      </c>
      <c r="AP33" s="317" t="str">
        <f t="shared" si="25"/>
        <v>-</v>
      </c>
      <c r="AQ33" s="318">
        <f t="shared" si="25"/>
        <v>0.5270719463631327</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uuqjtKdr4uIYwAj5iLAA2mTAYNq/DpekDqOnsysJVpUWKXoVHcBuoDeKMzwyFpE1dAIWopfhm82db+i2xKUdPQ==" saltValue="qFOIowpTUCrgtTFv7znk7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CATALUÑA</v>
      </c>
      <c r="E2" s="287"/>
    </row>
    <row r="3" spans="2:20" ht="17.25" customHeight="1">
      <c r="C3" s="291"/>
      <c r="D3" s="286" t="str">
        <f>Criterios!A10 &amp;"  "&amp;Criterios!B10</f>
        <v>Provincias  TARRAGONA</v>
      </c>
      <c r="E3" s="287"/>
    </row>
    <row r="4" spans="2:20" ht="17.25" customHeight="1" thickBot="1">
      <c r="D4" s="286" t="str">
        <f>Criterios!A11 &amp;"  "&amp;Criterios!B11</f>
        <v>Resumenes por Partidos Judiciales  VALLS</v>
      </c>
      <c r="E4" s="287"/>
    </row>
    <row r="5" spans="2:20" ht="12.75" customHeight="1">
      <c r="B5" s="297"/>
      <c r="C5" s="1649" t="str">
        <f>"Año:  " &amp;Criterios!B5 &amp; "          Trimestre   " &amp;Criterios!D5 &amp; " al " &amp;Criterios!D6</f>
        <v>Año:  2022          Trimestre   2 al 2</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0.44444444444444442</v>
      </c>
      <c r="E10" s="393">
        <f>IF(ISNUMBER((Datos!J10-Datos!T10)/Datos!T10),(Datos!J10-Datos!T10)/Datos!T10," - ")</f>
        <v>1</v>
      </c>
      <c r="F10" s="393">
        <f>IF(ISNUMBER((Datos!K10-Datos!U10)/Datos!U10),(Datos!K10-Datos!U10)/Datos!U10," - ")</f>
        <v>1.25</v>
      </c>
      <c r="G10" s="394">
        <f>IF(ISNUMBER((Datos!L10-Datos!V10)/Datos!V10),(Datos!L10-Datos!V10)/Datos!V10," - ")</f>
        <v>0.41666666666666669</v>
      </c>
      <c r="H10" s="244">
        <f>IF(ISNUMBER((Datos!M10-Datos!W10)/Datos!W10),(Datos!M10-Datos!W10)/Datos!W10," - ")</f>
        <v>0.5</v>
      </c>
      <c r="I10" s="395">
        <f>IF(ISNUMBER((Tasas!C10-Datos!BE10)/Datos!BE10),(Tasas!C10-Datos!BE10)/Datos!BE10," - ")</f>
        <v>-0.37037037037037035</v>
      </c>
      <c r="J10" s="394">
        <f>IF(ISNUMBER((Tasas!D10-Datos!BF10)/Datos!BF10),(Tasas!D10-Datos!BF10)/Datos!BF10," - ")</f>
        <v>-0.33333333333333337</v>
      </c>
      <c r="K10" s="396">
        <f>IF(ISNUMBER((Tasas!E10-Datos!BG10)/Datos!BG10),(Tasas!E10-Datos!BG10)/Datos!BG10," - ")</f>
        <v>-0.33333333333333331</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-2.2727272727272728E-2</v>
      </c>
      <c r="I12" s="395">
        <f>IF(ISNUMBER((Tasas!C12-Datos!BE12)/Datos!BE12),(Tasas!C12-Datos!BE12)/Datos!BE12," - ")</f>
        <v>0.36229146650362487</v>
      </c>
      <c r="J12" s="394">
        <f>IF(ISNUMBER((Tasas!D12-Datos!BF12)/Datos!BF12),(Tasas!D12-Datos!BF12)/Datos!BF12," - ")</f>
        <v>-0.37574572923665839</v>
      </c>
      <c r="K12" s="396">
        <f>IF(ISNUMBER((Tasas!E12-Datos!BG12)/Datos!BG12),(Tasas!E12-Datos!BG12)/Datos!BG12," - ")</f>
        <v>0.25577030542441476</v>
      </c>
      <c r="M12" t="e">
        <f>IF(Monitorios="SI",Datos!CE12,0)</f>
        <v>#REF!</v>
      </c>
      <c r="N12" t="e">
        <f>IF(Monitorios="SI",Datos!CF12,0)</f>
        <v>#REF!</v>
      </c>
      <c r="O12" t="e">
        <f>IF(Monitorios="SI",Datos!CG12,0)</f>
        <v>#REF!</v>
      </c>
      <c r="P12" t="e">
        <f>IF(Monitorios="SI",Datos!CH12,0)</f>
        <v>#REF!</v>
      </c>
      <c r="Q12">
        <f>IF(J_V="SI",0,Datos!AG12)</f>
        <v>79</v>
      </c>
      <c r="R12">
        <f>IF(J_V="SI",0,Datos!AH12)</f>
        <v>23</v>
      </c>
      <c r="S12">
        <f>IF(J_V="SI",0,Datos!AI12)</f>
        <v>40</v>
      </c>
      <c r="T12">
        <f>IF(J_V="SI",0,Datos!AJ12)</f>
        <v>62</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-1.6853932584269662E-2</v>
      </c>
      <c r="I14" s="402">
        <f>IF(ISNUMBER((Tasas!C14-Datos!BE14)/Datos!BE14),(Tasas!C14-Datos!BE14)/Datos!BE14," - ")</f>
        <v>0.35530533908403544</v>
      </c>
      <c r="J14" s="400">
        <f>IF(ISNUMBER((Tasas!D14-Datos!BF14)/Datos!BF14),(Tasas!D14-Datos!BF14)/Datos!BF14," - ")</f>
        <v>-0.37421449518223715</v>
      </c>
      <c r="K14" s="403">
        <f>IF(ISNUMBER((Tasas!E14-Datos!BG14)/Datos!BG14),(Tasas!E14-Datos!BG14)/Datos!BG14," - ")</f>
        <v>0.25195688954113354</v>
      </c>
      <c r="M14" t="e">
        <f>IF(Monitorios="SI",Datos!CE14,0)</f>
        <v>#REF!</v>
      </c>
      <c r="N14" t="e">
        <f>IF(Monitorios="SI",Datos!CF14,0)</f>
        <v>#REF!</v>
      </c>
      <c r="O14" t="e">
        <f>IF(Monitorios="SI",Datos!CG14,0)</f>
        <v>#REF!</v>
      </c>
      <c r="P14" t="e">
        <f>IF(Monitorios="SI",Datos!CH14,0)</f>
        <v>#REF!</v>
      </c>
      <c r="Q14">
        <f>IF(J_V="SI",0,Datos!AG14)</f>
        <v>79</v>
      </c>
      <c r="R14">
        <f>IF(J_V="SI",0,Datos!AH14)</f>
        <v>23</v>
      </c>
      <c r="S14">
        <f>IF(J_V="SI",0,Datos!AI14)</f>
        <v>40</v>
      </c>
      <c r="T14">
        <f>IF(J_V="SI",0,Datos!AJ14)</f>
        <v>62</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1.6920473773265651E-2</v>
      </c>
      <c r="E17" s="393">
        <f>IF(ISNUMBER(
   IF(D_I="SI",(Datos!J17-Datos!T17)/Datos!T17,(Datos!J17+Datos!AD17-(Datos!T17+Datos!AL17))/(Datos!T17+Datos!AL17))
     ),IF(D_I="SI",(Datos!J17-Datos!T17)/Datos!T17,(Datos!J17+Datos!AD17-(Datos!T17+Datos!AL17))/(Datos!T17+Datos!AL17))," - ")</f>
        <v>0.31906614785992216</v>
      </c>
      <c r="F17" s="393">
        <f>IF(ISNUMBER(
   IF(D_I="SI",(Datos!K17-Datos!U17)/Datos!U17,(Datos!K17+Datos!AE17-(Datos!U17+Datos!AM17))/(Datos!U17+Datos!AM17))
     ),IF(D_I="SI",(Datos!K17-Datos!U17)/Datos!U17,(Datos!K17+Datos!AE17-(Datos!U17+Datos!AM17))/(Datos!U17+Datos!AM17))," - ")</f>
        <v>0.49354375896700142</v>
      </c>
      <c r="G17" s="394">
        <f>IF(ISNUMBER(
   IF(D_I="SI",(Datos!L17-Datos!V17)/Datos!V17,(Datos!L17+Datos!AF17-(Datos!V17+Datos!AN17))/(Datos!V17+Datos!AN17))
     ),IF(D_I="SI",(Datos!L17-Datos!V17)/Datos!V17,(Datos!L17+Datos!AF17-(Datos!V17+Datos!AN17))/(Datos!V17+Datos!AN17))," - ")</f>
        <v>-6.2101910828025478E-2</v>
      </c>
      <c r="H17" s="244">
        <f>IF(ISNUMBER((Datos!M17-Datos!W17)/Datos!W17),(Datos!M17-Datos!W17)/Datos!W17," - ")</f>
        <v>-9.3023255813953487E-2</v>
      </c>
      <c r="I17" s="395">
        <f>IF(ISNUMBER((Tasas!C17-Datos!BE17)/Datos!BE17),(Tasas!C17-Datos!BE17)/Datos!BE17," - ")</f>
        <v>-0.37203173088101227</v>
      </c>
      <c r="J17" s="394">
        <f>IF(ISNUMBER((Tasas!D17-Datos!BF17)/Datos!BF17),(Tasas!D17-Datos!BF17)/Datos!BF17," - ")</f>
        <v>-0.39273507137591318</v>
      </c>
      <c r="K17" s="396">
        <f>IF(ISNUMBER((Tasas!E17-Datos!BG17)/Datos!BG17),(Tasas!E17-Datos!BG17)/Datos!BG17," - ")</f>
        <v>-0.23925850178522856</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0.79365079365079361</v>
      </c>
      <c r="E18" s="393">
        <f>IF(ISNUMBER(
   IF(D_I="SI",(Datos!J18-Datos!T18)/Datos!T18,(Datos!J18+Datos!AD18-(Datos!T18+Datos!AL18))/(Datos!T18+Datos!AL18))
     ),IF(D_I="SI",(Datos!J18-Datos!T18)/Datos!T18,(Datos!J18+Datos!AD18-(Datos!T18+Datos!AL18))/(Datos!T18+Datos!AL18))," - ")</f>
        <v>5.3571428571428568E-2</v>
      </c>
      <c r="F18" s="393">
        <f>IF(ISNUMBER(
   IF(D_I="SI",(Datos!K18-Datos!U18)/Datos!U18,(Datos!K18+Datos!AE18-(Datos!U18+Datos!AM18))/(Datos!U18+Datos!AM18))
     ),IF(D_I="SI",(Datos!K18-Datos!U18)/Datos!U18,(Datos!K18+Datos!AE18-(Datos!U18+Datos!AM18))/(Datos!U18+Datos!AM18))," - ")</f>
        <v>0.75</v>
      </c>
      <c r="G18" s="394">
        <f>IF(ISNUMBER(
   IF(D_I="SI",(Datos!L18-Datos!V18)/Datos!V18,(Datos!L18+Datos!AF18-(Datos!V18+Datos!AN18))/(Datos!V18+Datos!AN18))
     ),IF(D_I="SI",(Datos!L18-Datos!V18)/Datos!V18,(Datos!L18+Datos!AF18-(Datos!V18+Datos!AN18))/(Datos!V18+Datos!AN18))," - ")</f>
        <v>0.52054794520547942</v>
      </c>
      <c r="H18" s="244">
        <f>IF(ISNUMBER((Datos!M18-Datos!W18)/Datos!W18),(Datos!M18-Datos!W18)/Datos!W18," - ")</f>
        <v>0</v>
      </c>
      <c r="I18" s="395">
        <f>IF(ISNUMBER((Tasas!C18-Datos!BE18)/Datos!BE18),(Tasas!C18-Datos!BE18)/Datos!BE18," - ")</f>
        <v>-0.13111545988258314</v>
      </c>
      <c r="J18" s="394">
        <f>IF(ISNUMBER((Tasas!D18-Datos!BF18)/Datos!BF18),(Tasas!D18-Datos!BF18)/Datos!BF18," - ")</f>
        <v>-0.42857142857142855</v>
      </c>
      <c r="K18" s="396">
        <f>IF(ISNUMBER((Tasas!E18-Datos!BG18)/Datos!BG18),(Tasas!E18-Datos!BG18)/Datos!BG18," - ")</f>
        <v>-0.1051805337519623</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9.1743119266055051E-2</v>
      </c>
      <c r="E23" s="399">
        <f>IF(ISNUMBER(
   IF(D_I="SI",(Datos!J23-Datos!T23)/Datos!T23,(Datos!J23+Datos!AD23-(Datos!T23+Datos!AL23))/(Datos!T23+Datos!AL23))
     ),IF(D_I="SI",(Datos!J23-Datos!T23)/Datos!T23,(Datos!J23+Datos!AD23-(Datos!T23+Datos!AL23))/(Datos!T23+Datos!AL23))," - ")</f>
        <v>0.3010882708585248</v>
      </c>
      <c r="F23" s="399">
        <f>IF(ISNUMBER(
   IF(D_I="SI",(Datos!K23-Datos!U23)/Datos!U23,(Datos!K23+Datos!AE23-(Datos!U23+Datos!AM23))/(Datos!U23+Datos!AM23))
     ),IF(D_I="SI",(Datos!K23-Datos!U23)/Datos!U23,(Datos!K23+Datos!AE23-(Datos!U23+Datos!AM23))/(Datos!U23+Datos!AM23))," - ")</f>
        <v>0.50613915416098232</v>
      </c>
      <c r="G23" s="400">
        <f>IF(ISNUMBER(
   IF(D_I="SI",(Datos!L23-Datos!V23)/Datos!V23,(Datos!L23+Datos!AF23-(Datos!V23+Datos!AN23))/(Datos!V23+Datos!AN23))
     ),IF(D_I="SI",(Datos!L23-Datos!V23)/Datos!V23,(Datos!L23+Datos!AF23-(Datos!V23+Datos!AN23))/(Datos!V23+Datos!AN23))," - ")</f>
        <v>-1.4265335235378032E-3</v>
      </c>
      <c r="H23" s="401">
        <f>IF(ISNUMBER((Datos!M23-Datos!W23)/Datos!W23),(Datos!M23-Datos!W23)/Datos!W23," - ")</f>
        <v>-8.98876404494382E-2</v>
      </c>
      <c r="I23" s="402">
        <f>IF(ISNUMBER((Tasas!C23-Datos!BE23)/Datos!BE23),(Tasas!C23-Datos!BE23)/Datos!BE23," - ")</f>
        <v>-0.33699787053691416</v>
      </c>
      <c r="J23" s="400">
        <f>IF(ISNUMBER((Tasas!D23-Datos!BF23)/Datos!BF23),(Tasas!D23-Datos!BF23)/Datos!BF23," - ")</f>
        <v>-0.39573155837811425</v>
      </c>
      <c r="K23" s="403">
        <f>IF(ISNUMBER((Tasas!E23-Datos!BG23)/Datos!BG23),(Tasas!E23-Datos!BG23)/Datos!BG23," - ")</f>
        <v>-0.22129789905983777</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8.2754264055590651E-2</v>
      </c>
      <c r="E31" s="409">
        <f>IF(ISNUMBER(
   IF(J_V="SI",(Datos!J31-Datos!T31)/Datos!T31,(Datos!J31+Datos!Z31-(Datos!T31+Datos!AH31))/(Datos!T31+Datos!AH31))
     ),IF(J_V="SI",(Datos!J31-Datos!T31)/Datos!T31,(Datos!J31+Datos!Z31-(Datos!T31+Datos!AH31))/(Datos!T31+Datos!AH31))," - ")</f>
        <v>0.30962343096234307</v>
      </c>
      <c r="F31" s="409">
        <f>IF(ISNUMBER(
   IF(J_V="SI",(Datos!K31-Datos!U31)/Datos!U31,(Datos!K31+Datos!AA31-(Datos!U31+Datos!AI31))/(Datos!U31+Datos!AI31))
     ),IF(J_V="SI",(Datos!K31-Datos!U31)/Datos!U31,(Datos!K31+Datos!AA31-(Datos!U31+Datos!AI31))/(Datos!U31+Datos!AI31))," - ")</f>
        <v>0.2103448275862069</v>
      </c>
      <c r="G31" s="410">
        <f>IF(ISNUMBER(
   IF(J_V="SI",(Datos!L31-Datos!V31)/Datos!V31,(Datos!L31+Datos!AB31-(Datos!V31+Datos!AJ31))/(Datos!V31+Datos!AJ31))
     ),IF(J_V="SI",(Datos!L31-Datos!V31)/Datos!V31,(Datos!L31+Datos!AB31-(Datos!V31+Datos!AJ31))/(Datos!V31+Datos!AJ31))," - ")</f>
        <v>0.1273015873015873</v>
      </c>
      <c r="H31" s="411">
        <f>IF(ISNUMBER((Datos!M31-Datos!W31)/Datos!W31),(Datos!M31-Datos!W31)/Datos!W31," - ")</f>
        <v>-4.1198501872659173E-2</v>
      </c>
      <c r="I31" s="408">
        <f>IF(ISNUMBER((Tasas!C31-Datos!BE31)/Datos!BE31),(Tasas!C31-Datos!BE31)/Datos!BE31," - ")</f>
        <v>-6.8611224166779672E-2</v>
      </c>
      <c r="J31" s="409">
        <f>IF(ISNUMBER((Tasas!D31-Datos!BF31)/Datos!BF31),(Tasas!D31-Datos!BF31)/Datos!BF31," - ")</f>
        <v>-0.46722929090687276</v>
      </c>
      <c r="K31" s="410">
        <f>IF(ISNUMBER((Tasas!E31-Datos!BG31)/Datos!BG31),(Tasas!E31-Datos!BG31)/Datos!BG31," - ")</f>
        <v>-4.6983773070729561E-2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0.3571534271223466</v>
      </c>
      <c r="E33" s="303">
        <f t="shared" si="1"/>
        <v>0.40619687285288025</v>
      </c>
      <c r="F33" s="303">
        <f t="shared" si="1"/>
        <v>0.35366551550020392</v>
      </c>
      <c r="G33" s="304">
        <f t="shared" si="1"/>
        <v>0.29303474018504061</v>
      </c>
      <c r="H33" s="310">
        <f t="shared" si="1"/>
        <v>0.22569829081419934</v>
      </c>
      <c r="I33" s="302">
        <f t="shared" si="1"/>
        <v>0.35308436497724366</v>
      </c>
      <c r="J33" s="303">
        <f t="shared" si="1"/>
        <v>3.1398409323413923E-2</v>
      </c>
      <c r="K33" s="304">
        <f t="shared" si="1"/>
        <v>0.25759164186524114</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ns1luXIm2ae8HqeTDb3aWXtEO/ByRcXOjcbRwukZXDkZvdJKVEXIe5KZuWGfQbAyMvuU7krLdnwwA+Ss6kVK5Q==" saltValue="vpexH+DMlYLJsN5EJvHcPQ=="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2023-05-05T21:36:12Z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